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.coca\Desktop\ATUALIZAÇÃO DO SITE\ANEXOS\04_Áreas Priorizadas e Base Cartográfica\"/>
    </mc:Choice>
  </mc:AlternateContent>
  <xr:revisionPtr revIDLastSave="0" documentId="13_ncr:1_{0A04449F-38D5-4B6D-B946-9173B3BE21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pa 3.5" sheetId="1" r:id="rId1"/>
    <sheet name="Resumo_Municipios" sheetId="3" r:id="rId2"/>
  </sheets>
  <definedNames>
    <definedName name="_xlnm._FilterDatabase" localSheetId="0" hidden="1">'Mapa 3.5'!$A$1:$H$627</definedName>
    <definedName name="SegmentaçãodeDados_Abastecimento__nº_habitantes">#N/A</definedName>
    <definedName name="SegmentaçãodeDados_Área_do_Município__Km²">#N/A</definedName>
    <definedName name="SegmentaçãodeDados_Consumo_per_capita__L_d_hab.">#N/A</definedName>
  </definedNames>
  <calcPr calcId="191029"/>
  <pivotCaches>
    <pivotCache cacheId="0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" l="1"/>
  <c r="E7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6" i="1"/>
  <c r="E5" i="1"/>
  <c r="E4" i="1"/>
  <c r="E3" i="1"/>
  <c r="F55" i="3" l="1"/>
  <c r="E55" i="3"/>
  <c r="D55" i="3"/>
  <c r="C55" i="3"/>
  <c r="B55" i="3"/>
  <c r="F34" i="3"/>
  <c r="E34" i="3"/>
  <c r="D34" i="3"/>
  <c r="C34" i="3"/>
  <c r="B34" i="3"/>
  <c r="F8" i="3"/>
  <c r="E8" i="3"/>
  <c r="D8" i="3"/>
  <c r="C8" i="3"/>
  <c r="B8" i="3"/>
  <c r="F49" i="3"/>
  <c r="E49" i="3"/>
  <c r="D49" i="3"/>
  <c r="C49" i="3"/>
  <c r="B49" i="3"/>
  <c r="F25" i="3"/>
  <c r="E25" i="3"/>
  <c r="D25" i="3"/>
  <c r="C25" i="3"/>
  <c r="B25" i="3"/>
  <c r="F77" i="3"/>
  <c r="E77" i="3"/>
  <c r="D77" i="3"/>
  <c r="C77" i="3"/>
  <c r="B77" i="3"/>
  <c r="F76" i="3"/>
  <c r="E76" i="3"/>
  <c r="D76" i="3"/>
  <c r="C76" i="3"/>
  <c r="B76" i="3"/>
  <c r="F60" i="3"/>
  <c r="E60" i="3"/>
  <c r="D60" i="3"/>
  <c r="C60" i="3"/>
  <c r="B60" i="3"/>
  <c r="F69" i="3"/>
  <c r="E69" i="3"/>
  <c r="D69" i="3"/>
  <c r="C69" i="3"/>
  <c r="B69" i="3"/>
  <c r="F68" i="3"/>
  <c r="E68" i="3"/>
  <c r="D68" i="3"/>
  <c r="C68" i="3"/>
  <c r="B68" i="3"/>
  <c r="F46" i="3"/>
  <c r="E46" i="3"/>
  <c r="D46" i="3"/>
  <c r="C46" i="3"/>
  <c r="B46" i="3"/>
  <c r="F6" i="3"/>
  <c r="E6" i="3"/>
  <c r="D6" i="3"/>
  <c r="C6" i="3"/>
  <c r="B6" i="3"/>
  <c r="F75" i="3"/>
  <c r="E75" i="3"/>
  <c r="D75" i="3"/>
  <c r="C75" i="3"/>
  <c r="B75" i="3"/>
  <c r="F9" i="3"/>
  <c r="E9" i="3"/>
  <c r="D9" i="3"/>
  <c r="C9" i="3"/>
  <c r="B9" i="3"/>
  <c r="F5" i="3"/>
  <c r="E5" i="3"/>
  <c r="D5" i="3"/>
  <c r="C5" i="3"/>
  <c r="B5" i="3"/>
  <c r="F58" i="3"/>
  <c r="E58" i="3"/>
  <c r="D58" i="3"/>
  <c r="C58" i="3"/>
  <c r="B58" i="3"/>
  <c r="F59" i="3"/>
  <c r="E59" i="3"/>
  <c r="D59" i="3"/>
  <c r="C59" i="3"/>
  <c r="B59" i="3"/>
  <c r="F23" i="3"/>
  <c r="E23" i="3"/>
  <c r="D23" i="3"/>
  <c r="C23" i="3"/>
  <c r="B23" i="3"/>
  <c r="F4" i="3"/>
  <c r="E4" i="3"/>
  <c r="D4" i="3"/>
  <c r="C4" i="3"/>
  <c r="B4" i="3"/>
  <c r="F63" i="3"/>
  <c r="E63" i="3"/>
  <c r="D63" i="3"/>
  <c r="C63" i="3"/>
  <c r="B63" i="3"/>
  <c r="F42" i="3"/>
  <c r="E42" i="3"/>
  <c r="D42" i="3"/>
  <c r="C42" i="3"/>
  <c r="B42" i="3"/>
  <c r="F61" i="3"/>
  <c r="E61" i="3"/>
  <c r="D61" i="3"/>
  <c r="C61" i="3"/>
  <c r="B61" i="3"/>
  <c r="F54" i="3"/>
  <c r="E54" i="3"/>
  <c r="D54" i="3"/>
  <c r="C54" i="3"/>
  <c r="B54" i="3"/>
  <c r="F19" i="3"/>
  <c r="E19" i="3"/>
  <c r="D19" i="3"/>
  <c r="C19" i="3"/>
  <c r="B19" i="3"/>
  <c r="F32" i="3"/>
  <c r="E32" i="3"/>
  <c r="D32" i="3"/>
  <c r="C32" i="3"/>
  <c r="B32" i="3"/>
  <c r="F52" i="3"/>
  <c r="E52" i="3"/>
  <c r="D52" i="3"/>
  <c r="C52" i="3"/>
  <c r="B52" i="3"/>
  <c r="F36" i="3"/>
  <c r="E36" i="3"/>
  <c r="D36" i="3"/>
  <c r="C36" i="3"/>
  <c r="B36" i="3"/>
  <c r="F38" i="3"/>
  <c r="E38" i="3"/>
  <c r="D38" i="3"/>
  <c r="C38" i="3"/>
  <c r="B38" i="3"/>
  <c r="F15" i="3"/>
  <c r="E15" i="3"/>
  <c r="D15" i="3"/>
  <c r="C15" i="3"/>
  <c r="B15" i="3"/>
  <c r="F29" i="3"/>
  <c r="E29" i="3"/>
  <c r="D29" i="3"/>
  <c r="C29" i="3"/>
  <c r="B29" i="3"/>
  <c r="F65" i="3"/>
  <c r="E65" i="3"/>
  <c r="D65" i="3"/>
  <c r="C65" i="3"/>
  <c r="B65" i="3"/>
  <c r="F20" i="3"/>
  <c r="E20" i="3"/>
  <c r="D20" i="3"/>
  <c r="C20" i="3"/>
  <c r="B20" i="3"/>
  <c r="F10" i="3"/>
  <c r="E10" i="3"/>
  <c r="D10" i="3"/>
  <c r="C10" i="3"/>
  <c r="B10" i="3"/>
  <c r="F21" i="3"/>
  <c r="E21" i="3"/>
  <c r="D21" i="3"/>
  <c r="C21" i="3"/>
  <c r="B21" i="3"/>
  <c r="F37" i="3"/>
  <c r="E37" i="3"/>
  <c r="D37" i="3"/>
  <c r="C37" i="3"/>
  <c r="B37" i="3"/>
  <c r="F30" i="3"/>
  <c r="E30" i="3"/>
  <c r="D30" i="3"/>
  <c r="C30" i="3"/>
  <c r="B30" i="3"/>
  <c r="F2" i="3"/>
  <c r="E2" i="3"/>
  <c r="D2" i="3"/>
  <c r="C2" i="3"/>
  <c r="B2" i="3"/>
  <c r="F64" i="3"/>
  <c r="E64" i="3"/>
  <c r="D64" i="3"/>
  <c r="C64" i="3"/>
  <c r="B64" i="3"/>
  <c r="F56" i="3"/>
  <c r="E56" i="3"/>
  <c r="D56" i="3"/>
  <c r="C56" i="3"/>
  <c r="B56" i="3"/>
  <c r="F22" i="3"/>
  <c r="E22" i="3"/>
  <c r="D22" i="3"/>
  <c r="C22" i="3"/>
  <c r="B22" i="3"/>
  <c r="F24" i="3"/>
  <c r="E24" i="3"/>
  <c r="D24" i="3"/>
  <c r="C24" i="3"/>
  <c r="B24" i="3"/>
  <c r="F53" i="3"/>
  <c r="E53" i="3"/>
  <c r="D53" i="3"/>
  <c r="C53" i="3"/>
  <c r="B53" i="3"/>
  <c r="F44" i="3"/>
  <c r="E44" i="3"/>
  <c r="D44" i="3"/>
  <c r="C44" i="3"/>
  <c r="B44" i="3"/>
  <c r="F41" i="3"/>
  <c r="E41" i="3"/>
  <c r="D41" i="3"/>
  <c r="C41" i="3"/>
  <c r="B41" i="3"/>
  <c r="F17" i="3"/>
  <c r="E17" i="3"/>
  <c r="D17" i="3"/>
  <c r="C17" i="3"/>
  <c r="B17" i="3"/>
  <c r="F51" i="3"/>
  <c r="E51" i="3"/>
  <c r="D51" i="3"/>
  <c r="C51" i="3"/>
  <c r="B51" i="3"/>
  <c r="F35" i="3"/>
  <c r="E35" i="3"/>
  <c r="D35" i="3"/>
  <c r="C35" i="3"/>
  <c r="B35" i="3"/>
  <c r="F66" i="3"/>
  <c r="E66" i="3"/>
  <c r="D66" i="3"/>
  <c r="C66" i="3"/>
  <c r="B66" i="3"/>
  <c r="F12" i="3"/>
  <c r="E12" i="3"/>
  <c r="D12" i="3"/>
  <c r="C12" i="3"/>
  <c r="B12" i="3"/>
  <c r="F16" i="3"/>
  <c r="E16" i="3"/>
  <c r="D16" i="3"/>
  <c r="C16" i="3"/>
  <c r="B16" i="3"/>
  <c r="F7" i="3"/>
  <c r="E7" i="3"/>
  <c r="D7" i="3"/>
  <c r="C7" i="3"/>
  <c r="B7" i="3"/>
  <c r="F74" i="3"/>
  <c r="E74" i="3"/>
  <c r="D74" i="3"/>
  <c r="C74" i="3"/>
  <c r="B74" i="3"/>
  <c r="F18" i="3"/>
  <c r="E18" i="3"/>
  <c r="D18" i="3"/>
  <c r="C18" i="3"/>
  <c r="B18" i="3"/>
  <c r="F14" i="3"/>
  <c r="E14" i="3"/>
  <c r="D14" i="3"/>
  <c r="C14" i="3"/>
  <c r="B14" i="3"/>
  <c r="F27" i="3"/>
  <c r="E27" i="3"/>
  <c r="D27" i="3"/>
  <c r="C27" i="3"/>
  <c r="B27" i="3"/>
  <c r="F47" i="3"/>
  <c r="E47" i="3"/>
  <c r="D47" i="3"/>
  <c r="C47" i="3"/>
  <c r="B47" i="3"/>
  <c r="F11" i="3"/>
  <c r="E11" i="3"/>
  <c r="D11" i="3"/>
  <c r="C11" i="3"/>
  <c r="B11" i="3"/>
  <c r="F39" i="3"/>
  <c r="E39" i="3"/>
  <c r="D39" i="3"/>
  <c r="C39" i="3"/>
  <c r="F28" i="3"/>
  <c r="E28" i="3"/>
  <c r="D28" i="3"/>
  <c r="C28" i="3"/>
  <c r="F26" i="3"/>
  <c r="E26" i="3"/>
  <c r="D26" i="3"/>
  <c r="C26" i="3"/>
  <c r="F73" i="3"/>
  <c r="E73" i="3"/>
  <c r="D73" i="3"/>
  <c r="C73" i="3"/>
  <c r="F13" i="3"/>
  <c r="E13" i="3"/>
  <c r="D13" i="3"/>
  <c r="C13" i="3"/>
  <c r="F72" i="3"/>
  <c r="E72" i="3"/>
  <c r="D72" i="3"/>
  <c r="C72" i="3"/>
  <c r="F50" i="3"/>
  <c r="E50" i="3"/>
  <c r="D50" i="3"/>
  <c r="C50" i="3"/>
  <c r="F31" i="3"/>
  <c r="E31" i="3"/>
  <c r="D31" i="3"/>
  <c r="C31" i="3"/>
  <c r="F3" i="3"/>
  <c r="E3" i="3"/>
  <c r="D3" i="3"/>
  <c r="C3" i="3"/>
  <c r="F71" i="3"/>
  <c r="E71" i="3"/>
  <c r="D71" i="3"/>
  <c r="C71" i="3"/>
  <c r="F67" i="3"/>
  <c r="E67" i="3"/>
  <c r="D67" i="3"/>
  <c r="C67" i="3"/>
  <c r="F33" i="3"/>
  <c r="E33" i="3"/>
  <c r="D33" i="3"/>
  <c r="C33" i="3"/>
  <c r="B33" i="3"/>
  <c r="F57" i="3"/>
  <c r="E57" i="3"/>
  <c r="D57" i="3"/>
  <c r="C57" i="3"/>
  <c r="B57" i="3"/>
  <c r="F62" i="3"/>
  <c r="E62" i="3"/>
  <c r="D62" i="3"/>
  <c r="C62" i="3"/>
  <c r="B62" i="3"/>
  <c r="F70" i="3"/>
  <c r="E70" i="3"/>
  <c r="D70" i="3"/>
  <c r="C70" i="3"/>
  <c r="B45" i="3"/>
  <c r="B48" i="3"/>
  <c r="B70" i="3"/>
  <c r="F48" i="3"/>
  <c r="E48" i="3"/>
  <c r="D48" i="3"/>
  <c r="C48" i="3"/>
  <c r="F45" i="3"/>
  <c r="E45" i="3"/>
  <c r="D45" i="3"/>
  <c r="C45" i="3"/>
  <c r="F40" i="3"/>
  <c r="E40" i="3"/>
  <c r="D40" i="3"/>
  <c r="C40" i="3"/>
  <c r="B40" i="3"/>
  <c r="F43" i="3"/>
  <c r="E43" i="3"/>
  <c r="B43" i="3"/>
  <c r="D43" i="3"/>
  <c r="C43" i="3"/>
  <c r="B39" i="3"/>
  <c r="B28" i="3"/>
  <c r="B26" i="3"/>
  <c r="B73" i="3"/>
  <c r="B13" i="3"/>
  <c r="B72" i="3"/>
  <c r="F78" i="3" l="1"/>
  <c r="C78" i="3"/>
  <c r="D78" i="3"/>
  <c r="E78" i="3"/>
  <c r="B50" i="3"/>
  <c r="B31" i="3"/>
  <c r="B3" i="3"/>
  <c r="B71" i="3"/>
  <c r="B67" i="3"/>
  <c r="B78" i="3" l="1"/>
  <c r="G55" i="3"/>
  <c r="G34" i="3"/>
  <c r="G8" i="3"/>
  <c r="G49" i="3"/>
  <c r="G25" i="3"/>
  <c r="G70" i="3"/>
  <c r="G69" i="3"/>
  <c r="G48" i="3"/>
  <c r="G6" i="3"/>
  <c r="G75" i="3"/>
  <c r="G5" i="3"/>
  <c r="G58" i="3"/>
  <c r="G23" i="3"/>
  <c r="G63" i="3"/>
  <c r="G61" i="3"/>
  <c r="G54" i="3"/>
  <c r="G19" i="3"/>
  <c r="G32" i="3"/>
  <c r="G38" i="3"/>
  <c r="G15" i="3"/>
  <c r="G65" i="3"/>
  <c r="G20" i="3"/>
  <c r="G21" i="3"/>
  <c r="G30" i="3"/>
  <c r="G2" i="3"/>
  <c r="G64" i="3"/>
  <c r="G22" i="3"/>
  <c r="G24" i="3"/>
  <c r="G44" i="3"/>
  <c r="G41" i="3"/>
  <c r="G45" i="3"/>
  <c r="G17" i="3"/>
  <c r="G51" i="3"/>
  <c r="G77" i="3"/>
  <c r="G76" i="3"/>
  <c r="G60" i="3"/>
  <c r="G68" i="3"/>
  <c r="G46" i="3"/>
  <c r="G9" i="3"/>
  <c r="G59" i="3"/>
  <c r="G4" i="3"/>
  <c r="G42" i="3"/>
  <c r="G52" i="3"/>
  <c r="G36" i="3"/>
  <c r="G29" i="3"/>
  <c r="G10" i="3"/>
  <c r="G37" i="3"/>
  <c r="G56" i="3"/>
  <c r="G53" i="3"/>
  <c r="G35" i="3"/>
  <c r="G12" i="3"/>
  <c r="G40" i="3"/>
  <c r="G7" i="3"/>
  <c r="G18" i="3"/>
  <c r="G27" i="3" l="1"/>
  <c r="G47" i="3"/>
  <c r="G39" i="3"/>
  <c r="G28" i="3"/>
  <c r="G43" i="3"/>
  <c r="G13" i="3"/>
  <c r="G50" i="3"/>
  <c r="G31" i="3"/>
  <c r="G67" i="3"/>
  <c r="G33" i="3"/>
  <c r="G26" i="3"/>
  <c r="G62" i="3"/>
  <c r="H626" i="1" l="1"/>
  <c r="H624" i="1"/>
  <c r="H622" i="1"/>
  <c r="H619" i="1"/>
  <c r="H620" i="1"/>
  <c r="H618" i="1"/>
  <c r="H617" i="1"/>
  <c r="H614" i="1"/>
  <c r="H613" i="1"/>
  <c r="H612" i="1"/>
  <c r="H611" i="1"/>
  <c r="H607" i="1"/>
  <c r="H605" i="1"/>
  <c r="H603" i="1"/>
  <c r="H601" i="1"/>
  <c r="H597" i="1"/>
  <c r="H596" i="1"/>
  <c r="H595" i="1"/>
  <c r="H593" i="1"/>
  <c r="H591" i="1"/>
  <c r="H587" i="1"/>
  <c r="H584" i="1"/>
  <c r="H581" i="1"/>
  <c r="H577" i="1"/>
  <c r="H576" i="1"/>
  <c r="H572" i="1"/>
  <c r="H574" i="1"/>
  <c r="H562" i="1"/>
  <c r="H555" i="1"/>
  <c r="H568" i="1" l="1"/>
  <c r="H573" i="1"/>
  <c r="H566" i="1"/>
  <c r="H559" i="1"/>
  <c r="H564" i="1"/>
  <c r="H557" i="1"/>
  <c r="H553" i="1"/>
  <c r="H547" i="1"/>
  <c r="H541" i="1"/>
  <c r="H543" i="1"/>
  <c r="H535" i="1"/>
  <c r="H528" i="1"/>
  <c r="H529" i="1"/>
  <c r="H527" i="1"/>
  <c r="H520" i="1"/>
  <c r="H521" i="1"/>
  <c r="H512" i="1"/>
  <c r="H497" i="1"/>
  <c r="H499" i="1"/>
  <c r="H465" i="1"/>
  <c r="H463" i="1"/>
  <c r="H447" i="1"/>
  <c r="H439" i="1"/>
  <c r="H437" i="1"/>
  <c r="H433" i="1"/>
  <c r="H419" i="1"/>
  <c r="H418" i="1"/>
  <c r="H420" i="1"/>
  <c r="H413" i="1"/>
  <c r="H410" i="1"/>
  <c r="H411" i="1"/>
  <c r="H412" i="1"/>
  <c r="H409" i="1"/>
  <c r="H405" i="1"/>
  <c r="H399" i="1"/>
  <c r="H381" i="1"/>
  <c r="H384" i="1"/>
  <c r="H375" i="1"/>
  <c r="H374" i="1"/>
  <c r="H369" i="1"/>
  <c r="H370" i="1"/>
  <c r="H367" i="1"/>
  <c r="H366" i="1"/>
  <c r="H363" i="1"/>
  <c r="H361" i="1"/>
  <c r="H332" i="1"/>
  <c r="H336" i="1"/>
  <c r="H328" i="1"/>
  <c r="H302" i="1"/>
  <c r="H289" i="1"/>
  <c r="H281" i="1"/>
  <c r="H278" i="1"/>
  <c r="H279" i="1"/>
  <c r="H277" i="1"/>
  <c r="H271" i="1"/>
  <c r="H266" i="1"/>
  <c r="H250" i="1"/>
  <c r="H239" i="1"/>
  <c r="H225" i="1"/>
  <c r="H233" i="1"/>
  <c r="H219" i="1"/>
  <c r="H220" i="1"/>
  <c r="H217" i="1"/>
  <c r="H213" i="1"/>
  <c r="H212" i="1"/>
  <c r="H209" i="1"/>
  <c r="H208" i="1"/>
  <c r="H206" i="1"/>
  <c r="H203" i="1"/>
  <c r="H195" i="1"/>
  <c r="H188" i="1"/>
  <c r="H181" i="1"/>
  <c r="H183" i="1"/>
  <c r="H176" i="1"/>
  <c r="H175" i="1"/>
  <c r="H177" i="1"/>
  <c r="H163" i="1"/>
  <c r="H169" i="1"/>
  <c r="H161" i="1"/>
  <c r="H158" i="1"/>
  <c r="H157" i="1"/>
  <c r="H159" i="1"/>
  <c r="H146" i="1"/>
  <c r="H118" i="1"/>
  <c r="H120" i="1"/>
  <c r="H116" i="1"/>
  <c r="H117" i="1"/>
  <c r="H114" i="1"/>
  <c r="H95" i="1"/>
  <c r="H92" i="1"/>
  <c r="H90" i="1"/>
  <c r="H91" i="1"/>
  <c r="H87" i="1"/>
  <c r="H73" i="1"/>
  <c r="H74" i="1"/>
  <c r="H71" i="1"/>
  <c r="H68" i="1"/>
  <c r="H65" i="1"/>
  <c r="H38" i="1"/>
  <c r="H39" i="1"/>
  <c r="H22" i="1"/>
  <c r="H79" i="1" l="1"/>
  <c r="H362" i="1"/>
  <c r="H551" i="1"/>
  <c r="H455" i="1"/>
  <c r="H504" i="1"/>
  <c r="H428" i="1"/>
  <c r="H352" i="1"/>
  <c r="H445" i="1"/>
  <c r="H165" i="1"/>
  <c r="H355" i="1"/>
  <c r="H189" i="1"/>
  <c r="H211" i="1"/>
  <c r="H273" i="1"/>
  <c r="H451" i="1"/>
  <c r="H383" i="1"/>
  <c r="H334" i="1"/>
  <c r="H346" i="1"/>
  <c r="H349" i="1"/>
  <c r="H382" i="1"/>
  <c r="H476" i="1"/>
  <c r="H305" i="1"/>
  <c r="H343" i="1"/>
  <c r="H330" i="1"/>
  <c r="H516" i="1"/>
  <c r="H532" i="1"/>
  <c r="H272" i="1"/>
  <c r="H323" i="1"/>
  <c r="H376" i="1"/>
  <c r="H435" i="1"/>
  <c r="H531" i="1"/>
  <c r="H283" i="1"/>
  <c r="H393" i="1"/>
  <c r="H274" i="1"/>
  <c r="H320" i="1"/>
  <c r="H453" i="1"/>
  <c r="H443" i="1"/>
  <c r="H498" i="1"/>
  <c r="H425" i="1"/>
  <c r="H471" i="1"/>
  <c r="H522" i="1"/>
  <c r="H523" i="1"/>
  <c r="H373" i="1"/>
  <c r="H417" i="1"/>
  <c r="H311" i="1"/>
  <c r="H401" i="1"/>
  <c r="H486" i="1"/>
  <c r="H508" i="1"/>
  <c r="H539" i="1"/>
  <c r="H537" i="1"/>
  <c r="H389" i="1"/>
  <c r="H397" i="1"/>
  <c r="H481" i="1"/>
  <c r="H524" i="1"/>
  <c r="H549" i="1"/>
  <c r="H308" i="1"/>
  <c r="H459" i="1"/>
  <c r="H285" i="1"/>
  <c r="H293" i="1"/>
  <c r="H317" i="1"/>
  <c r="H391" i="1"/>
  <c r="H403" i="1"/>
  <c r="H461" i="1"/>
  <c r="H187" i="1"/>
  <c r="H263" i="1"/>
  <c r="H75" i="1"/>
  <c r="H182" i="1"/>
  <c r="H287" i="1"/>
  <c r="H295" i="1"/>
  <c r="H254" i="1"/>
  <c r="H231" i="1"/>
  <c r="H260" i="1"/>
  <c r="H297" i="1"/>
  <c r="H257" i="1"/>
  <c r="H246" i="1"/>
  <c r="H291" i="1"/>
  <c r="H227" i="1"/>
  <c r="H199" i="1"/>
  <c r="H218" i="1"/>
  <c r="H193" i="1"/>
  <c r="H214" i="1"/>
  <c r="H160" i="1"/>
  <c r="H171" i="1"/>
  <c r="H184" i="1"/>
  <c r="H248" i="1"/>
  <c r="H244" i="1"/>
  <c r="H197" i="1"/>
  <c r="H229" i="1"/>
  <c r="H241" i="1"/>
  <c r="H205" i="1"/>
  <c r="H237" i="1"/>
  <c r="H119" i="1"/>
  <c r="H178" i="1"/>
  <c r="H167" i="1"/>
  <c r="H142" i="1"/>
  <c r="H53" i="1"/>
  <c r="H48" i="1"/>
  <c r="H59" i="1"/>
  <c r="H45" i="1"/>
  <c r="H81" i="1"/>
  <c r="H32" i="1"/>
  <c r="H69" i="1"/>
  <c r="H102" i="1"/>
  <c r="H105" i="1"/>
  <c r="H134" i="1"/>
  <c r="H108" i="1"/>
  <c r="H26" i="1"/>
  <c r="H85" i="1"/>
  <c r="H93" i="1"/>
  <c r="H111" i="1"/>
  <c r="H83" i="1"/>
  <c r="H99" i="1"/>
  <c r="H138" i="1"/>
  <c r="H130" i="1"/>
  <c r="H62" i="1"/>
  <c r="H16" i="1"/>
  <c r="H56" i="1"/>
  <c r="H20" i="1"/>
  <c r="H18" i="1"/>
  <c r="H42" i="1"/>
  <c r="H31" i="1"/>
  <c r="H35" i="1"/>
  <c r="H10" i="1"/>
  <c r="H28" i="1"/>
  <c r="H7" i="1"/>
  <c r="E2" i="1"/>
  <c r="E2" i="1" a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Mateus</author>
  </authors>
  <commentList>
    <comment ref="E1" authorId="0" shapeId="0" xr:uid="{62216998-5669-4617-910F-3958C5C8F5A0}">
      <text>
        <r>
          <rPr>
            <sz val="9"/>
            <color indexed="81"/>
            <rFont val="Segoe UI"/>
            <family val="2"/>
          </rPr>
          <t>Restante das áreas para completar 100% são aquelas que não estão inseridas no municipio ou nas Bacias PCJ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Mateus</author>
  </authors>
  <commentList>
    <comment ref="G1" authorId="0" shapeId="0" xr:uid="{6400C15B-7E6A-4A5A-8B99-9CE27CA65C05}">
      <text>
        <r>
          <rPr>
            <sz val="9"/>
            <color indexed="81"/>
            <rFont val="Segoe UI"/>
            <family val="2"/>
          </rPr>
          <t>Cruzamento dos Quadros 2.1 e 4.2 do RF PB 2020-2035, considerando o ano base de 2016 do PB.</t>
        </r>
      </text>
    </comment>
    <comment ref="H16" authorId="0" shapeId="0" xr:uid="{7610B37B-9811-4405-9A37-21326475AC25}">
      <text>
        <r>
          <rPr>
            <sz val="9"/>
            <color indexed="81"/>
            <rFont val="Segoe UI"/>
            <family val="2"/>
          </rPr>
          <t>Não possui demanda representativa nas Bacias PCJ</t>
        </r>
      </text>
    </comment>
    <comment ref="H53" authorId="0" shapeId="0" xr:uid="{5CB7263B-508E-45C6-80D1-590C4D3FEF10}">
      <text>
        <r>
          <rPr>
            <sz val="9"/>
            <color indexed="81"/>
            <rFont val="Segoe UI"/>
            <family val="2"/>
          </rPr>
          <t>Não possui demanda representativa nas Bacias PCJ</t>
        </r>
      </text>
    </comment>
    <comment ref="H68" authorId="0" shapeId="0" xr:uid="{6D77A28E-3DD0-48F7-A8C9-FBCFC01C6E8C}">
      <text>
        <r>
          <rPr>
            <sz val="9"/>
            <color indexed="81"/>
            <rFont val="Segoe UI"/>
            <family val="2"/>
          </rPr>
          <t>Não possui demanda representativa nas Bacias PCJ</t>
        </r>
      </text>
    </comment>
    <comment ref="H71" authorId="0" shapeId="0" xr:uid="{C5614871-7E2E-45F3-B403-B764DA39656E}">
      <text>
        <r>
          <rPr>
            <sz val="9"/>
            <color indexed="81"/>
            <rFont val="Segoe UI"/>
            <charset val="1"/>
          </rPr>
          <t>Não possui demanda representativa nas Bacias PCJ</t>
        </r>
      </text>
    </comment>
    <comment ref="H72" authorId="0" shapeId="0" xr:uid="{D2BC36BF-8580-4825-B589-B9C07C7F6AAC}">
      <text>
        <r>
          <rPr>
            <sz val="9"/>
            <color indexed="81"/>
            <rFont val="Segoe UI"/>
            <family val="2"/>
          </rPr>
          <t>Não possui demanda representativa nas Bacias PCJ</t>
        </r>
      </text>
    </comment>
    <comment ref="H73" authorId="0" shapeId="0" xr:uid="{A8A1963E-D836-4E19-AACF-1C153D2452D8}">
      <text>
        <r>
          <rPr>
            <sz val="9"/>
            <color indexed="81"/>
            <rFont val="Segoe UI"/>
            <family val="2"/>
          </rPr>
          <t>Não possui demanda representativa nas Bacias PCJ</t>
        </r>
      </text>
    </comment>
    <comment ref="H76" authorId="0" shapeId="0" xr:uid="{03323E9B-D9A2-4E4C-BD7E-7BB47B697201}">
      <text>
        <r>
          <rPr>
            <sz val="9"/>
            <color indexed="81"/>
            <rFont val="Segoe UI"/>
            <family val="2"/>
          </rPr>
          <t>Não possui demanda representativa nas Bacias PCJ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<sst xmlns="http://schemas.openxmlformats.org/spreadsheetml/2006/main" count="892" uniqueCount="413">
  <si>
    <t>ACs</t>
  </si>
  <si>
    <t>Criticidade</t>
  </si>
  <si>
    <t>Legendas Profil</t>
  </si>
  <si>
    <t>Mapa Síntese Plano de Bacias</t>
  </si>
  <si>
    <t>ATIB210</t>
  </si>
  <si>
    <t>JAGR211</t>
  </si>
  <si>
    <t>JAGR108</t>
  </si>
  <si>
    <t>JAGR106</t>
  </si>
  <si>
    <t>JAGR217</t>
  </si>
  <si>
    <t>JAGR104</t>
  </si>
  <si>
    <t>JAGR107</t>
  </si>
  <si>
    <t>CMDC063</t>
  </si>
  <si>
    <t>PCBA003</t>
  </si>
  <si>
    <t>ATIB153</t>
  </si>
  <si>
    <t>JAGR048</t>
  </si>
  <si>
    <t>PCBA118</t>
  </si>
  <si>
    <t>ATIB044</t>
  </si>
  <si>
    <t>PCBA143</t>
  </si>
  <si>
    <t>PCBA122</t>
  </si>
  <si>
    <t>PCBA043</t>
  </si>
  <si>
    <t>JAGR133</t>
  </si>
  <si>
    <t>CMDC069</t>
  </si>
  <si>
    <t>CMDC073</t>
  </si>
  <si>
    <t>CMDC112</t>
  </si>
  <si>
    <t>CMDC068</t>
  </si>
  <si>
    <t>PCBA001</t>
  </si>
  <si>
    <t>CRUM014</t>
  </si>
  <si>
    <t>JAGR125</t>
  </si>
  <si>
    <t>JAGR045</t>
  </si>
  <si>
    <t>JAGR216</t>
  </si>
  <si>
    <t>JAGR123</t>
  </si>
  <si>
    <t>ATIB090</t>
  </si>
  <si>
    <t>JUNA155</t>
  </si>
  <si>
    <t>ATIB097</t>
  </si>
  <si>
    <t>JAGR078</t>
  </si>
  <si>
    <t>JAGR080</t>
  </si>
  <si>
    <t>JAGR058</t>
  </si>
  <si>
    <t>JAGR132</t>
  </si>
  <si>
    <t>JAGR074</t>
  </si>
  <si>
    <t>JAGR077</t>
  </si>
  <si>
    <t>JAGR079</t>
  </si>
  <si>
    <t>JAGR149</t>
  </si>
  <si>
    <t>JAGR057</t>
  </si>
  <si>
    <t>JUNA208</t>
  </si>
  <si>
    <t>JUNA225</t>
  </si>
  <si>
    <t>JUNA167</t>
  </si>
  <si>
    <t>ATIB050</t>
  </si>
  <si>
    <t>JAGR070</t>
  </si>
  <si>
    <t>JAGR072</t>
  </si>
  <si>
    <t>PCBA119</t>
  </si>
  <si>
    <t>CPIV174</t>
  </si>
  <si>
    <t>ATIB054</t>
  </si>
  <si>
    <t>ATIB198</t>
  </si>
  <si>
    <t>CPIV173</t>
  </si>
  <si>
    <t>CPIV176</t>
  </si>
  <si>
    <t>CPIV213</t>
  </si>
  <si>
    <t>JAGR135</t>
  </si>
  <si>
    <t>ATIB055</t>
  </si>
  <si>
    <t>ATIB206</t>
  </si>
  <si>
    <t>CPIV220</t>
  </si>
  <si>
    <t>JUNA159</t>
  </si>
  <si>
    <t>CPIV181</t>
  </si>
  <si>
    <t>CPIV184</t>
  </si>
  <si>
    <t>PCBA039</t>
  </si>
  <si>
    <t>CPIV182</t>
  </si>
  <si>
    <t>CPIV178</t>
  </si>
  <si>
    <t>CPIV179</t>
  </si>
  <si>
    <t>PCBA188</t>
  </si>
  <si>
    <t>CRUM189</t>
  </si>
  <si>
    <t>CRUM141</t>
  </si>
  <si>
    <t>PCBA037</t>
  </si>
  <si>
    <t>CRUM147</t>
  </si>
  <si>
    <t>CRUM020</t>
  </si>
  <si>
    <t>CRUM016</t>
  </si>
  <si>
    <t>JAGR126</t>
  </si>
  <si>
    <t>JAGR049</t>
  </si>
  <si>
    <t>JAGR129</t>
  </si>
  <si>
    <t>CMDC121</t>
  </si>
  <si>
    <t>JAGR130</t>
  </si>
  <si>
    <t>PCBA204</t>
  </si>
  <si>
    <t>PCBA203</t>
  </si>
  <si>
    <t>JUNA163</t>
  </si>
  <si>
    <t>JUNA164</t>
  </si>
  <si>
    <t>JUNA161</t>
  </si>
  <si>
    <t>CRUM146</t>
  </si>
  <si>
    <t>PCBA033</t>
  </si>
  <si>
    <t>PCBA034</t>
  </si>
  <si>
    <t>PCBA151</t>
  </si>
  <si>
    <t>PCBA191</t>
  </si>
  <si>
    <t>ATIB092</t>
  </si>
  <si>
    <t>ATIB091</t>
  </si>
  <si>
    <t>ATIB084</t>
  </si>
  <si>
    <t>ATIB200</t>
  </si>
  <si>
    <t>CRUM012</t>
  </si>
  <si>
    <t>CPIV170</t>
  </si>
  <si>
    <t>JUNA224</t>
  </si>
  <si>
    <t>CMDC117</t>
  </si>
  <si>
    <t>ATIB218</t>
  </si>
  <si>
    <t>ATIB103</t>
  </si>
  <si>
    <t>ATIB101</t>
  </si>
  <si>
    <t>JAGR111</t>
  </si>
  <si>
    <t>CPIV212</t>
  </si>
  <si>
    <t>JUNA158</t>
  </si>
  <si>
    <t>JUNA222</t>
  </si>
  <si>
    <t>PCBA036</t>
  </si>
  <si>
    <t>PCBA041</t>
  </si>
  <si>
    <t>PCBA035</t>
  </si>
  <si>
    <t>CPIV169</t>
  </si>
  <si>
    <t>JUNA207</t>
  </si>
  <si>
    <t>CPIV185</t>
  </si>
  <si>
    <t>CPIV186</t>
  </si>
  <si>
    <t>CMDC064</t>
  </si>
  <si>
    <t>CMDC065</t>
  </si>
  <si>
    <t>CMDC061</t>
  </si>
  <si>
    <t>PCBA040</t>
  </si>
  <si>
    <t>CPIV175</t>
  </si>
  <si>
    <t>JAGR115</t>
  </si>
  <si>
    <t>JAGR116</t>
  </si>
  <si>
    <t>PCBA202</t>
  </si>
  <si>
    <t>ATIB047</t>
  </si>
  <si>
    <t>JAGR076</t>
  </si>
  <si>
    <t>CMDC060</t>
  </si>
  <si>
    <t>PCBA031</t>
  </si>
  <si>
    <t>PCBA214</t>
  </si>
  <si>
    <t>PCBA004</t>
  </si>
  <si>
    <t>PCBA025</t>
  </si>
  <si>
    <t>PCBA026</t>
  </si>
  <si>
    <t>PCBA150</t>
  </si>
  <si>
    <t>PCBA194</t>
  </si>
  <si>
    <t>CRUM027</t>
  </si>
  <si>
    <t>PCBA002</t>
  </si>
  <si>
    <t>PCBA032</t>
  </si>
  <si>
    <t>PCBA190</t>
  </si>
  <si>
    <t>CRUM017</t>
  </si>
  <si>
    <t>CRUM018</t>
  </si>
  <si>
    <t>JUNA162</t>
  </si>
  <si>
    <t>PCBA042</t>
  </si>
  <si>
    <t>Santo Antonio de Posse </t>
  </si>
  <si>
    <t>JAGR124</t>
  </si>
  <si>
    <t>São Pedro </t>
  </si>
  <si>
    <t>Socorro </t>
  </si>
  <si>
    <t>PCBA120</t>
  </si>
  <si>
    <t>Sumaré </t>
  </si>
  <si>
    <t>PCBA154</t>
  </si>
  <si>
    <t>PCBA152</t>
  </si>
  <si>
    <t>Torrinha </t>
  </si>
  <si>
    <t>Tuiuti </t>
  </si>
  <si>
    <t>ATIB138</t>
  </si>
  <si>
    <t>Valinhos </t>
  </si>
  <si>
    <t>Vargem </t>
  </si>
  <si>
    <t>JAGR081</t>
  </si>
  <si>
    <t>Vinhedo </t>
  </si>
  <si>
    <t>Áreas Sujeitas à Restrição de Uso com Vistas à Proteção de Recursos Hídricos</t>
  </si>
  <si>
    <t>Conservação, recuperação de nascentes, matas ciliares e áreas de recarga</t>
  </si>
  <si>
    <t>ATIB209</t>
  </si>
  <si>
    <t>Itapeva (177,27 Km²)</t>
  </si>
  <si>
    <t>Camanducaia (528,22 Km²)</t>
  </si>
  <si>
    <t>Extrema (244,46 Km²)</t>
  </si>
  <si>
    <t>Sapucaí-Mirim (284,90 Km²)</t>
  </si>
  <si>
    <t>Toledo (136,74 Km²)</t>
  </si>
  <si>
    <t>Águas de São Pedro (5,55 Km²) </t>
  </si>
  <si>
    <t>Americana (134,01 Km²)</t>
  </si>
  <si>
    <t>Amparo (445,57 Km²)</t>
  </si>
  <si>
    <t>Analândia (326,03 Km²)</t>
  </si>
  <si>
    <t>Anhembi (737,97 Km²)</t>
  </si>
  <si>
    <t>Artur Nogueira (178,098 Km²)</t>
  </si>
  <si>
    <t>Atibaia (478,45 Km²)</t>
  </si>
  <si>
    <t>Bom Jesus dos Perdões (108,34 Km²) </t>
  </si>
  <si>
    <t>Botucatu (1486,10 Km²)</t>
  </si>
  <si>
    <t>Bragança Paulista (512,54 km²)</t>
  </si>
  <si>
    <t>Cabreúva (260,32 Km²)</t>
  </si>
  <si>
    <t>Campinas (794,68 Km²)</t>
  </si>
  <si>
    <t>Campo Limpo Paulista (79,40 Km²) </t>
  </si>
  <si>
    <t>Capivari (323,14 Km²)</t>
  </si>
  <si>
    <t>Charqueada (176,12 Km²)</t>
  </si>
  <si>
    <t>Cordeirópolis (137,68 Km²)</t>
  </si>
  <si>
    <t>Corumbataí (278,90 Km²)</t>
  </si>
  <si>
    <t>Cosmópolis (154,73 Km²)</t>
  </si>
  <si>
    <t>Dois Córregos (634,31 Km²)</t>
  </si>
  <si>
    <t>Elias Fausto (202,83 Km²)</t>
  </si>
  <si>
    <t>Engenheiro Coelho (109,99 Km²)</t>
  </si>
  <si>
    <t>Holambra (65,60 Km²)</t>
  </si>
  <si>
    <t>Hortolândia (62,31 Km²)</t>
  </si>
  <si>
    <t>Indaiatuba (312,20 Km²)</t>
  </si>
  <si>
    <t>Ipeúna (190,25 Km²)</t>
  </si>
  <si>
    <t>Iracemápolis (115,22 Km²)</t>
  </si>
  <si>
    <t>Itatiba (322,26 Km²)</t>
  </si>
  <si>
    <t>Itirapina (565,50 Km²)</t>
  </si>
  <si>
    <t>Itu (639,95 Km²)</t>
  </si>
  <si>
    <t>Itupeva (200,88 Km²)</t>
  </si>
  <si>
    <t>Jaguariúna (141,44 Km²)</t>
  </si>
  <si>
    <t>Joanópolis (374,15 Km²)</t>
  </si>
  <si>
    <t>Jarinu (207,64 Km²)</t>
  </si>
  <si>
    <t>Jundiaí (431,25 Km²)</t>
  </si>
  <si>
    <t>Limeira (581,11 Km²)</t>
  </si>
  <si>
    <t>Louveira (55,14 Km²)</t>
  </si>
  <si>
    <t>Mairiporã (320,19 Km²)</t>
  </si>
  <si>
    <t>Mogi Mirim (497,93 Km²)</t>
  </si>
  <si>
    <t>Mombuca (133,83 Km²)</t>
  </si>
  <si>
    <t>Monte Alegre do Sul (110,30 Km²)</t>
  </si>
  <si>
    <t>Monte Mor (240,56 Km²)</t>
  </si>
  <si>
    <t>Morungaba (146,75 Km²)</t>
  </si>
  <si>
    <t>Nazaré Paulista (326,19 Km²)</t>
  </si>
  <si>
    <t>Nova Odessa (74,36 Km²)</t>
  </si>
  <si>
    <t>Paulínia (138,78 Km²)</t>
  </si>
  <si>
    <t>Pedra Bela (158,55 Km²)</t>
  </si>
  <si>
    <t>Pedreira (108,61 Km²)</t>
  </si>
  <si>
    <t>Pinhalzinho (154,51 Km²)</t>
  </si>
  <si>
    <t>Piracaia (385,40 Km²)</t>
  </si>
  <si>
    <t>Piracicaba (1380,24 Km²)</t>
  </si>
  <si>
    <t>Rafard (121,76 Km²)</t>
  </si>
  <si>
    <t>Rio Claro (498,38 Km²)</t>
  </si>
  <si>
    <t>Rio das Pedras (226,86 Km²)</t>
  </si>
  <si>
    <t>Saltinho (99,82 Km²)</t>
  </si>
  <si>
    <t>Salto (133,29 Km²)</t>
  </si>
  <si>
    <t>Santa Bárbara D’Oeste (271,07 Km²) </t>
  </si>
  <si>
    <t>Santa Gertrudes (98,38 Km²)</t>
  </si>
  <si>
    <t>Santa Maria da Serra (253,08 Km²)</t>
  </si>
  <si>
    <t>Santo Antonio de Posse (154,03 Km²)</t>
  </si>
  <si>
    <t>São Pedro (609,97 Km²)</t>
  </si>
  <si>
    <t>Serra Negra (203,73 Km²)</t>
  </si>
  <si>
    <t>Socorro (448,95 Km²)</t>
  </si>
  <si>
    <t>Sumaré (153,61 Km²)</t>
  </si>
  <si>
    <t>Tiete (404,85 Km²)</t>
  </si>
  <si>
    <t>Torrinha (315,84 Km²)</t>
  </si>
  <si>
    <t>Tuiuti (126,69 Km²)</t>
  </si>
  <si>
    <t>Valinhos (148,63 Km²)</t>
  </si>
  <si>
    <t>Vargem (142,57 Km²)</t>
  </si>
  <si>
    <t>Várzea Paulista (35,12 Km²)</t>
  </si>
  <si>
    <t>Vinhedo (81,62 Km²)</t>
  </si>
  <si>
    <t>Municipio</t>
  </si>
  <si>
    <t>Camanducaia </t>
  </si>
  <si>
    <t>Extrema</t>
  </si>
  <si>
    <t>Área do Município (Km²)</t>
  </si>
  <si>
    <t>Itapeva </t>
  </si>
  <si>
    <t>Sapucaí-Mirim </t>
  </si>
  <si>
    <t>Toledo </t>
  </si>
  <si>
    <t xml:space="preserve">Águas de São Pedro </t>
  </si>
  <si>
    <t>Americana </t>
  </si>
  <si>
    <t>Amparo </t>
  </si>
  <si>
    <t>Analândia </t>
  </si>
  <si>
    <t xml:space="preserve">Anhembi </t>
  </si>
  <si>
    <t>Artur Nogueira </t>
  </si>
  <si>
    <t>Atibaia </t>
  </si>
  <si>
    <t>Bom Jesus dos Perdões  </t>
  </si>
  <si>
    <t xml:space="preserve">Botucatu </t>
  </si>
  <si>
    <t>Bragança Paulista </t>
  </si>
  <si>
    <t>Brotas</t>
  </si>
  <si>
    <t>Cabreúva </t>
  </si>
  <si>
    <t>Campinas </t>
  </si>
  <si>
    <t xml:space="preserve">Campo Limpo Paulista </t>
  </si>
  <si>
    <t>Capivari </t>
  </si>
  <si>
    <t>Charqueada </t>
  </si>
  <si>
    <t>Cordeirópolis </t>
  </si>
  <si>
    <t>Corumbataí </t>
  </si>
  <si>
    <t>Cosmópolis </t>
  </si>
  <si>
    <t>Dois Córregos </t>
  </si>
  <si>
    <t>Elias Fausto </t>
  </si>
  <si>
    <t xml:space="preserve">Engenheiro Coelho </t>
  </si>
  <si>
    <t>Holambra </t>
  </si>
  <si>
    <t>Hortolândia </t>
  </si>
  <si>
    <t>Indaiatuba </t>
  </si>
  <si>
    <t>Ipeúna </t>
  </si>
  <si>
    <t>Iracemápolis </t>
  </si>
  <si>
    <t>Itatiba </t>
  </si>
  <si>
    <t>Itirapina </t>
  </si>
  <si>
    <t xml:space="preserve">Itu </t>
  </si>
  <si>
    <t>Itupeva </t>
  </si>
  <si>
    <t>Jaguariúna </t>
  </si>
  <si>
    <t>Jarinu </t>
  </si>
  <si>
    <t>Joanópolis </t>
  </si>
  <si>
    <t>Jundiaí</t>
  </si>
  <si>
    <t>Limeira </t>
  </si>
  <si>
    <t>Louveira </t>
  </si>
  <si>
    <t>Mairiporã </t>
  </si>
  <si>
    <t>Mogi Mirim </t>
  </si>
  <si>
    <t>Mombuca </t>
  </si>
  <si>
    <t>Monte Alegre do Sul </t>
  </si>
  <si>
    <t>Monte Mor </t>
  </si>
  <si>
    <t>Morungaba </t>
  </si>
  <si>
    <t>Nazaré Paulista </t>
  </si>
  <si>
    <t>Nova Odessa </t>
  </si>
  <si>
    <t>Paulínia </t>
  </si>
  <si>
    <t>Pedra Bela </t>
  </si>
  <si>
    <t>Pedreira </t>
  </si>
  <si>
    <t>Pinhalzinho </t>
  </si>
  <si>
    <t>Piracaia </t>
  </si>
  <si>
    <t>Piracicaba </t>
  </si>
  <si>
    <t>Rafard </t>
  </si>
  <si>
    <t>Rio Claro </t>
  </si>
  <si>
    <t>Rio das Pedras </t>
  </si>
  <si>
    <t>Saltinho </t>
  </si>
  <si>
    <t>Salto </t>
  </si>
  <si>
    <t xml:space="preserve">Santa Bárbara D’Oeste </t>
  </si>
  <si>
    <t>Santa Gertrudes </t>
  </si>
  <si>
    <t>Santa Maria da Serra </t>
  </si>
  <si>
    <t xml:space="preserve">Serra Negra </t>
  </si>
  <si>
    <t xml:space="preserve">Tiete </t>
  </si>
  <si>
    <t>Várzea Paulista</t>
  </si>
  <si>
    <t>1</t>
  </si>
  <si>
    <t>2</t>
  </si>
  <si>
    <t>3</t>
  </si>
  <si>
    <t>4</t>
  </si>
  <si>
    <t>5</t>
  </si>
  <si>
    <t>Abastecimento (nº habitantes)</t>
  </si>
  <si>
    <t>Consumo per capita (L/d/hab.)</t>
  </si>
  <si>
    <t>Total Geral</t>
  </si>
  <si>
    <t xml:space="preserve"> 1</t>
  </si>
  <si>
    <t xml:space="preserve"> 2</t>
  </si>
  <si>
    <t xml:space="preserve"> 3</t>
  </si>
  <si>
    <t xml:space="preserve"> 4</t>
  </si>
  <si>
    <t xml:space="preserve"> 5</t>
  </si>
  <si>
    <t>Municípios</t>
  </si>
  <si>
    <t>ATIB102</t>
  </si>
  <si>
    <t>JAGR105</t>
  </si>
  <si>
    <t>JAGR109</t>
  </si>
  <si>
    <t>JAGR110</t>
  </si>
  <si>
    <t>CMDC062</t>
  </si>
  <si>
    <t>JAGR082</t>
  </si>
  <si>
    <t>PCBA007</t>
  </si>
  <si>
    <t>JAGR046</t>
  </si>
  <si>
    <t>JAGR131</t>
  </si>
  <si>
    <t>PCBA142</t>
  </si>
  <si>
    <t>CMDC059</t>
  </si>
  <si>
    <t>CMDC066</t>
  </si>
  <si>
    <t>CMDC067</t>
  </si>
  <si>
    <t>CMDC113</t>
  </si>
  <si>
    <t>JAGR114</t>
  </si>
  <si>
    <t>JAGR134</t>
  </si>
  <si>
    <t>CRUM013</t>
  </si>
  <si>
    <t>CRUM015</t>
  </si>
  <si>
    <t>ATIB083</t>
  </si>
  <si>
    <t>ATIB087</t>
  </si>
  <si>
    <t>ATIB085</t>
  </si>
  <si>
    <t>ATIB089</t>
  </si>
  <si>
    <t>ATIB094</t>
  </si>
  <si>
    <t>ATIB095</t>
  </si>
  <si>
    <t>ATIB096</t>
  </si>
  <si>
    <t>ATIB148</t>
  </si>
  <si>
    <t>JUNA221</t>
  </si>
  <si>
    <t>ATIB098</t>
  </si>
  <si>
    <t>ATIB086</t>
  </si>
  <si>
    <t>JAGR075</t>
  </si>
  <si>
    <t>JUNA160</t>
  </si>
  <si>
    <t>JUNA165</t>
  </si>
  <si>
    <t>JUNA166</t>
  </si>
  <si>
    <t>ATIB051</t>
  </si>
  <si>
    <t>ATIB052</t>
  </si>
  <si>
    <t>ATIB053</t>
  </si>
  <si>
    <t>ATIB056</t>
  </si>
  <si>
    <t>ATIB136</t>
  </si>
  <si>
    <t>ATIB137</t>
  </si>
  <si>
    <t>ATIB199</t>
  </si>
  <si>
    <t>ATIB219</t>
  </si>
  <si>
    <t>CPIV171</t>
  </si>
  <si>
    <t>CPIV172</t>
  </si>
  <si>
    <t>CPIV192</t>
  </si>
  <si>
    <t>CPIV195</t>
  </si>
  <si>
    <t>JAGR071</t>
  </si>
  <si>
    <t>PCBA205</t>
  </si>
  <si>
    <t>JUNA156</t>
  </si>
  <si>
    <t>JUNA157</t>
  </si>
  <si>
    <t>CPIV177</t>
  </si>
  <si>
    <t>CPIV180</t>
  </si>
  <si>
    <t>CPIV183</t>
  </si>
  <si>
    <t>PCBA038</t>
  </si>
  <si>
    <t>CRUM008</t>
  </si>
  <si>
    <t>CRUM139</t>
  </si>
  <si>
    <t>PCBA005</t>
  </si>
  <si>
    <t>PCBA006</t>
  </si>
  <si>
    <t>PCBA030</t>
  </si>
  <si>
    <t>CRUM011</t>
  </si>
  <si>
    <t>JAGR128</t>
  </si>
  <si>
    <t>JUNA187</t>
  </si>
  <si>
    <t>CRUM010</t>
  </si>
  <si>
    <t>PCBA193</t>
  </si>
  <si>
    <t>ATIB088</t>
  </si>
  <si>
    <t>CPIV197</t>
  </si>
  <si>
    <t>CPIV196</t>
  </si>
  <si>
    <t>ATIB100</t>
  </si>
  <si>
    <t>JUNA168</t>
  </si>
  <si>
    <t>JUNA223</t>
  </si>
  <si>
    <t>PCBA201</t>
  </si>
  <si>
    <t>JAGR127</t>
  </si>
  <si>
    <t>ATIB093</t>
  </si>
  <si>
    <t>ATIB099</t>
  </si>
  <si>
    <t>CMDC140</t>
  </si>
  <si>
    <t>PCBA022</t>
  </si>
  <si>
    <t>PCBA023</t>
  </si>
  <si>
    <t>PCBA024</t>
  </si>
  <si>
    <t>PCBA028</t>
  </si>
  <si>
    <t>PCBA029</t>
  </si>
  <si>
    <t>PCBA144</t>
  </si>
  <si>
    <t>PCBA145</t>
  </si>
  <si>
    <t>CRUM009</t>
  </si>
  <si>
    <t>CRUM019</t>
  </si>
  <si>
    <t>CRUM021</t>
  </si>
  <si>
    <t>CRUM215</t>
  </si>
  <si>
    <t>Total</t>
  </si>
  <si>
    <t>Brotas (1103,25 Km²)</t>
  </si>
  <si>
    <t>Baixa criticidade</t>
  </si>
  <si>
    <t>Média criticidade</t>
  </si>
  <si>
    <t>Alta criticidade</t>
  </si>
  <si>
    <t>Muita alta criticidade</t>
  </si>
  <si>
    <t>Muita baixa criticidade</t>
  </si>
  <si>
    <t>21,22,23,24 e 25</t>
  </si>
  <si>
    <t>19 e 20</t>
  </si>
  <si>
    <t>16,17 e 18</t>
  </si>
  <si>
    <t>14 e 15</t>
  </si>
  <si>
    <t>9,10,11,12 e 13</t>
  </si>
  <si>
    <t>Resumo da Criticidade</t>
  </si>
  <si>
    <t>Área da AC por Município (km²)</t>
  </si>
  <si>
    <t>Município/ km²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</si>
</sst>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#,##0.00_ ;\-#,##0.00\ "/>
    <numFmt numFmtId="166" formatCode="00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</font>
    <font>
      <sz val="11"/>
      <color theme="1"/>
      <name val="Arial"/>
    </font>
    <font>
      <sz val="11"/>
      <name val="Arial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sz val="11"/>
      <name val="Arial"/>
      <family val="2"/>
    </font>
    <font>
      <b/>
      <sz val="12"/>
      <name val="Calibri"/>
      <family val="2"/>
    </font>
    <font>
      <b/>
      <sz val="11"/>
      <name val="Arial"/>
      <family val="2"/>
    </font>
    <font>
      <sz val="9"/>
      <color indexed="81"/>
      <name val="Segoe UI"/>
      <charset val="1"/>
    </font>
    <font>
      <sz val="11"/>
      <color theme="9" tint="-0.499984740745262"/>
      <name val="Arial"/>
      <family val="2"/>
    </font>
    <font>
      <sz val="11"/>
      <color theme="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6E6E6"/>
        <bgColor rgb="FFE6E6E6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00"/>
        <bgColor indexed="64"/>
      </patternFill>
    </fill>
  </fills>
  <borders count="10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ck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ck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ck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thick">
        <color indexed="64"/>
      </bottom>
      <diagonal/>
    </border>
    <border>
      <left style="medium">
        <color rgb="FF000000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/>
      <top/>
      <bottom style="thick">
        <color indexed="64"/>
      </bottom>
      <diagonal/>
    </border>
    <border>
      <left style="thin">
        <color rgb="FF000000"/>
      </left>
      <right style="medium">
        <color indexed="64"/>
      </right>
      <top style="thick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 style="thick">
        <color indexed="64"/>
      </left>
      <right style="thin">
        <color rgb="FF000000"/>
      </right>
      <top style="thick">
        <color indexed="64"/>
      </top>
      <bottom/>
      <diagonal/>
    </border>
    <border>
      <left style="thick">
        <color indexed="64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/>
      <top style="thick">
        <color indexed="64"/>
      </top>
      <bottom/>
      <diagonal/>
    </border>
    <border>
      <left style="medium">
        <color rgb="FF000000"/>
      </left>
      <right style="thin">
        <color rgb="FF000000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/>
      <top style="thick">
        <color indexed="64"/>
      </top>
      <bottom style="thick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/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ck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rgb="FF000000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0" fontId="10" fillId="10" borderId="84">
      <alignment horizontal="left"/>
    </xf>
    <xf numFmtId="43" fontId="7" fillId="0" borderId="0" applyFont="0" applyFill="0" applyBorder="0" applyAlignment="0" applyProtection="0"/>
  </cellStyleXfs>
  <cellXfs count="233">
    <xf numFmtId="0" fontId="0" fillId="0" borderId="0" xfId="0"/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8" borderId="47" xfId="0" applyFont="1" applyFill="1" applyBorder="1" applyAlignment="1">
      <alignment vertical="center" wrapText="1"/>
    </xf>
    <xf numFmtId="0" fontId="5" fillId="8" borderId="48" xfId="0" applyFont="1" applyFill="1" applyBorder="1" applyAlignment="1">
      <alignment vertical="center" wrapText="1"/>
    </xf>
    <xf numFmtId="0" fontId="5" fillId="8" borderId="40" xfId="0" applyFont="1" applyFill="1" applyBorder="1" applyAlignment="1">
      <alignment vertical="center" wrapText="1"/>
    </xf>
    <xf numFmtId="0" fontId="5" fillId="8" borderId="41" xfId="0" applyFont="1" applyFill="1" applyBorder="1" applyAlignment="1">
      <alignment vertical="center" wrapText="1"/>
    </xf>
    <xf numFmtId="0" fontId="5" fillId="8" borderId="45" xfId="0" applyFont="1" applyFill="1" applyBorder="1" applyAlignment="1">
      <alignment horizontal="center" vertical="center" wrapText="1"/>
    </xf>
    <xf numFmtId="0" fontId="5" fillId="8" borderId="46" xfId="0" applyFont="1" applyFill="1" applyBorder="1" applyAlignment="1">
      <alignment horizontal="center" vertical="center" wrapText="1"/>
    </xf>
    <xf numFmtId="0" fontId="5" fillId="8" borderId="47" xfId="0" applyFont="1" applyFill="1" applyBorder="1" applyAlignment="1">
      <alignment horizontal="center" vertical="center" wrapText="1"/>
    </xf>
    <xf numFmtId="0" fontId="5" fillId="8" borderId="48" xfId="0" applyFont="1" applyFill="1" applyBorder="1" applyAlignment="1">
      <alignment horizontal="center" vertical="center" wrapText="1"/>
    </xf>
    <xf numFmtId="0" fontId="5" fillId="8" borderId="40" xfId="0" applyFont="1" applyFill="1" applyBorder="1" applyAlignment="1">
      <alignment horizontal="center" vertical="center" wrapText="1"/>
    </xf>
    <xf numFmtId="0" fontId="5" fillId="8" borderId="4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3" fillId="3" borderId="54" xfId="0" applyFont="1" applyFill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3" fillId="3" borderId="62" xfId="0" applyFont="1" applyFill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9" fillId="0" borderId="74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 wrapText="1"/>
    </xf>
    <xf numFmtId="0" fontId="9" fillId="0" borderId="79" xfId="0" applyFont="1" applyBorder="1" applyAlignment="1">
      <alignment horizontal="center" vertical="center" wrapText="1"/>
    </xf>
    <xf numFmtId="0" fontId="6" fillId="8" borderId="45" xfId="0" applyFont="1" applyFill="1" applyBorder="1" applyAlignment="1">
      <alignment horizontal="center" vertical="center"/>
    </xf>
    <xf numFmtId="0" fontId="6" fillId="8" borderId="46" xfId="0" applyFont="1" applyFill="1" applyBorder="1" applyAlignment="1">
      <alignment vertical="center"/>
    </xf>
    <xf numFmtId="0" fontId="6" fillId="8" borderId="47" xfId="0" applyFont="1" applyFill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10" fontId="9" fillId="8" borderId="48" xfId="1" applyNumberFormat="1" applyFont="1" applyFill="1" applyBorder="1" applyAlignment="1">
      <alignment horizontal="center" vertical="center" wrapText="1"/>
    </xf>
    <xf numFmtId="0" fontId="5" fillId="8" borderId="45" xfId="0" applyFont="1" applyFill="1" applyBorder="1" applyAlignment="1">
      <alignment horizontal="center" vertical="center"/>
    </xf>
    <xf numFmtId="0" fontId="5" fillId="8" borderId="40" xfId="0" applyFont="1" applyFill="1" applyBorder="1" applyAlignment="1">
      <alignment horizontal="center" vertical="center"/>
    </xf>
    <xf numFmtId="0" fontId="5" fillId="8" borderId="41" xfId="0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5" fillId="8" borderId="47" xfId="0" applyFont="1" applyFill="1" applyBorder="1" applyAlignment="1">
      <alignment horizontal="center" vertical="center"/>
    </xf>
    <xf numFmtId="0" fontId="6" fillId="0" borderId="8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8" borderId="38" xfId="0" applyFont="1" applyFill="1" applyBorder="1" applyAlignment="1">
      <alignment horizontal="center" vertical="center"/>
    </xf>
    <xf numFmtId="0" fontId="3" fillId="0" borderId="88" xfId="0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9" fillId="8" borderId="45" xfId="0" applyFont="1" applyFill="1" applyBorder="1" applyAlignment="1">
      <alignment horizontal="center" vertical="center"/>
    </xf>
    <xf numFmtId="0" fontId="9" fillId="8" borderId="47" xfId="0" applyFont="1" applyFill="1" applyBorder="1" applyAlignment="1">
      <alignment horizontal="center" vertical="center"/>
    </xf>
    <xf numFmtId="0" fontId="9" fillId="8" borderId="40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3" fillId="3" borderId="92" xfId="0" applyFont="1" applyFill="1" applyBorder="1" applyAlignment="1">
      <alignment horizontal="center" vertical="center"/>
    </xf>
    <xf numFmtId="0" fontId="3" fillId="3" borderId="93" xfId="0" applyFont="1" applyFill="1" applyBorder="1" applyAlignment="1">
      <alignment horizontal="center" vertical="center"/>
    </xf>
    <xf numFmtId="0" fontId="3" fillId="0" borderId="95" xfId="0" applyFont="1" applyBorder="1" applyAlignment="1">
      <alignment horizontal="center" vertical="center"/>
    </xf>
    <xf numFmtId="0" fontId="2" fillId="0" borderId="94" xfId="0" applyFont="1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0" borderId="99" xfId="0" applyFont="1" applyBorder="1" applyAlignment="1">
      <alignment horizontal="center" vertical="center" wrapText="1"/>
    </xf>
    <xf numFmtId="2" fontId="5" fillId="0" borderId="33" xfId="0" applyNumberFormat="1" applyFont="1" applyBorder="1" applyAlignment="1">
      <alignment horizontal="center" vertical="center"/>
    </xf>
    <xf numFmtId="0" fontId="5" fillId="0" borderId="10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 wrapText="1"/>
    </xf>
    <xf numFmtId="0" fontId="6" fillId="11" borderId="29" xfId="0" applyFont="1" applyFill="1" applyBorder="1" applyAlignment="1">
      <alignment horizontal="center" vertical="center"/>
    </xf>
    <xf numFmtId="0" fontId="11" fillId="9" borderId="29" xfId="0" applyFont="1" applyFill="1" applyBorder="1" applyAlignment="1">
      <alignment horizontal="center" vertical="center"/>
    </xf>
    <xf numFmtId="0" fontId="11" fillId="6" borderId="29" xfId="0" applyFont="1" applyFill="1" applyBorder="1" applyAlignment="1">
      <alignment horizontal="center" vertical="center"/>
    </xf>
    <xf numFmtId="0" fontId="11" fillId="12" borderId="29" xfId="0" applyFont="1" applyFill="1" applyBorder="1" applyAlignment="1">
      <alignment horizontal="center" vertical="center"/>
    </xf>
    <xf numFmtId="0" fontId="11" fillId="5" borderId="29" xfId="0" applyFont="1" applyFill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3" fontId="5" fillId="0" borderId="102" xfId="3" applyFont="1" applyBorder="1" applyAlignment="1">
      <alignment horizontal="center" vertical="center"/>
    </xf>
    <xf numFmtId="2" fontId="5" fillId="0" borderId="102" xfId="0" applyNumberFormat="1" applyFont="1" applyBorder="1" applyAlignment="1">
      <alignment horizontal="center" vertical="center"/>
    </xf>
    <xf numFmtId="0" fontId="5" fillId="0" borderId="0" xfId="0" pivotButton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12" borderId="0" xfId="0" applyFont="1" applyFill="1" applyAlignment="1">
      <alignment horizontal="center" vertical="center"/>
    </xf>
    <xf numFmtId="0" fontId="13" fillId="9" borderId="0" xfId="0" applyFont="1" applyFill="1" applyAlignment="1">
      <alignment horizontal="center" vertical="center"/>
    </xf>
    <xf numFmtId="0" fontId="13" fillId="13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1" fontId="5" fillId="0" borderId="16" xfId="0" applyNumberFormat="1" applyFont="1" applyBorder="1" applyAlignment="1">
      <alignment horizontal="center" vertical="center"/>
    </xf>
    <xf numFmtId="2" fontId="5" fillId="0" borderId="101" xfId="0" applyNumberFormat="1" applyFont="1" applyBorder="1" applyAlignment="1">
      <alignment horizontal="center" vertical="center"/>
    </xf>
    <xf numFmtId="2" fontId="5" fillId="0" borderId="35" xfId="0" applyNumberFormat="1" applyFont="1" applyBorder="1" applyAlignment="1">
      <alignment horizontal="center" vertical="center"/>
    </xf>
    <xf numFmtId="0" fontId="9" fillId="0" borderId="9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03" xfId="0" applyFont="1" applyBorder="1" applyAlignment="1">
      <alignment horizontal="center" vertical="center"/>
    </xf>
    <xf numFmtId="2" fontId="5" fillId="0" borderId="103" xfId="0" applyNumberFormat="1" applyFont="1" applyBorder="1" applyAlignment="1">
      <alignment horizontal="center" vertical="center"/>
    </xf>
    <xf numFmtId="2" fontId="5" fillId="0" borderId="29" xfId="3" applyNumberFormat="1" applyFont="1" applyFill="1" applyBorder="1" applyAlignment="1">
      <alignment horizontal="center" vertical="center"/>
    </xf>
    <xf numFmtId="2" fontId="5" fillId="0" borderId="29" xfId="0" applyNumberFormat="1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2" fontId="5" fillId="0" borderId="16" xfId="3" applyNumberFormat="1" applyFont="1" applyFill="1" applyBorder="1" applyAlignment="1">
      <alignment horizontal="center" vertical="center"/>
    </xf>
    <xf numFmtId="2" fontId="5" fillId="0" borderId="22" xfId="3" applyNumberFormat="1" applyFont="1" applyFill="1" applyBorder="1" applyAlignment="1">
      <alignment horizontal="center" vertical="center"/>
    </xf>
    <xf numFmtId="2" fontId="5" fillId="0" borderId="22" xfId="0" applyNumberFormat="1" applyFont="1" applyBorder="1" applyAlignment="1">
      <alignment horizontal="center" vertical="center"/>
    </xf>
    <xf numFmtId="4" fontId="5" fillId="0" borderId="18" xfId="0" applyNumberFormat="1" applyFont="1" applyBorder="1" applyAlignment="1">
      <alignment horizontal="center" vertical="center"/>
    </xf>
    <xf numFmtId="2" fontId="5" fillId="0" borderId="22" xfId="1" applyNumberFormat="1" applyFont="1" applyFill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 wrapText="1"/>
    </xf>
    <xf numFmtId="4" fontId="14" fillId="0" borderId="0" xfId="0" applyNumberFormat="1" applyFont="1" applyAlignment="1">
      <alignment horizontal="center" vertical="center"/>
    </xf>
    <xf numFmtId="2" fontId="5" fillId="0" borderId="16" xfId="1" applyNumberFormat="1" applyFont="1" applyFill="1" applyBorder="1" applyAlignment="1">
      <alignment horizontal="center" vertical="center" wrapText="1"/>
    </xf>
    <xf numFmtId="165" fontId="5" fillId="0" borderId="16" xfId="3" applyNumberFormat="1" applyFont="1" applyFill="1" applyBorder="1" applyAlignment="1">
      <alignment horizontal="center" vertical="center" wrapText="1"/>
    </xf>
    <xf numFmtId="2" fontId="5" fillId="0" borderId="39" xfId="0" applyNumberFormat="1" applyFont="1" applyBorder="1" applyAlignment="1">
      <alignment horizontal="center" vertical="center"/>
    </xf>
    <xf numFmtId="2" fontId="5" fillId="0" borderId="39" xfId="0" applyNumberFormat="1" applyFont="1" applyBorder="1" applyAlignment="1">
      <alignment horizontal="center" vertical="center" wrapText="1"/>
    </xf>
    <xf numFmtId="2" fontId="9" fillId="0" borderId="25" xfId="1" applyNumberFormat="1" applyFont="1" applyBorder="1" applyAlignment="1">
      <alignment horizontal="center" vertical="center" wrapText="1"/>
    </xf>
    <xf numFmtId="2" fontId="9" fillId="0" borderId="1" xfId="1" applyNumberFormat="1" applyFont="1" applyBorder="1" applyAlignment="1">
      <alignment horizontal="center" vertical="center" wrapText="1"/>
    </xf>
    <xf numFmtId="2" fontId="9" fillId="0" borderId="5" xfId="1" applyNumberFormat="1" applyFont="1" applyBorder="1" applyAlignment="1">
      <alignment horizontal="center" vertical="center" wrapText="1"/>
    </xf>
    <xf numFmtId="2" fontId="5" fillId="8" borderId="48" xfId="0" applyNumberFormat="1" applyFont="1" applyFill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2" fontId="4" fillId="0" borderId="30" xfId="1" applyNumberFormat="1" applyFont="1" applyBorder="1" applyAlignment="1">
      <alignment horizontal="center" vertical="center" wrapText="1"/>
    </xf>
    <xf numFmtId="2" fontId="5" fillId="8" borderId="39" xfId="0" applyNumberFormat="1" applyFont="1" applyFill="1" applyBorder="1" applyAlignment="1">
      <alignment horizontal="center" vertical="center"/>
    </xf>
    <xf numFmtId="2" fontId="9" fillId="0" borderId="51" xfId="1" applyNumberFormat="1" applyFont="1" applyBorder="1" applyAlignment="1">
      <alignment horizontal="center" vertical="center" wrapText="1"/>
    </xf>
    <xf numFmtId="2" fontId="9" fillId="0" borderId="16" xfId="1" applyNumberFormat="1" applyFont="1" applyBorder="1" applyAlignment="1">
      <alignment horizontal="center" vertical="center" wrapText="1"/>
    </xf>
    <xf numFmtId="2" fontId="5" fillId="0" borderId="32" xfId="1" applyNumberFormat="1" applyFont="1" applyFill="1" applyBorder="1" applyAlignment="1">
      <alignment horizontal="center" vertical="center"/>
    </xf>
    <xf numFmtId="2" fontId="9" fillId="0" borderId="6" xfId="1" applyNumberFormat="1" applyFont="1" applyBorder="1" applyAlignment="1">
      <alignment horizontal="center" vertical="center" wrapText="1"/>
    </xf>
    <xf numFmtId="2" fontId="9" fillId="0" borderId="55" xfId="1" applyNumberFormat="1" applyFont="1" applyBorder="1" applyAlignment="1">
      <alignment horizontal="center" vertical="center" wrapText="1"/>
    </xf>
    <xf numFmtId="2" fontId="9" fillId="0" borderId="2" xfId="1" applyNumberFormat="1" applyFont="1" applyBorder="1" applyAlignment="1">
      <alignment horizontal="center" vertical="center" wrapText="1"/>
    </xf>
    <xf numFmtId="2" fontId="9" fillId="0" borderId="34" xfId="1" applyNumberFormat="1" applyFont="1" applyBorder="1" applyAlignment="1">
      <alignment horizontal="center" vertical="center" wrapText="1"/>
    </xf>
    <xf numFmtId="2" fontId="9" fillId="0" borderId="56" xfId="1" applyNumberFormat="1" applyFont="1" applyBorder="1" applyAlignment="1">
      <alignment horizontal="center" vertical="center" wrapText="1"/>
    </xf>
    <xf numFmtId="2" fontId="9" fillId="0" borderId="30" xfId="1" applyNumberFormat="1" applyFont="1" applyBorder="1" applyAlignment="1">
      <alignment horizontal="center" vertical="center" wrapText="1"/>
    </xf>
    <xf numFmtId="2" fontId="9" fillId="0" borderId="68" xfId="1" applyNumberFormat="1" applyFont="1" applyBorder="1" applyAlignment="1">
      <alignment horizontal="center" vertical="center" wrapText="1"/>
    </xf>
    <xf numFmtId="2" fontId="9" fillId="0" borderId="73" xfId="1" applyNumberFormat="1" applyFont="1" applyBorder="1" applyAlignment="1">
      <alignment horizontal="center" vertical="center" wrapText="1"/>
    </xf>
    <xf numFmtId="2" fontId="9" fillId="0" borderId="9" xfId="1" applyNumberFormat="1" applyFont="1" applyBorder="1" applyAlignment="1">
      <alignment horizontal="center" vertical="center" wrapText="1"/>
    </xf>
    <xf numFmtId="2" fontId="9" fillId="0" borderId="14" xfId="1" applyNumberFormat="1" applyFont="1" applyBorder="1" applyAlignment="1">
      <alignment horizontal="center" vertical="center" wrapText="1"/>
    </xf>
    <xf numFmtId="2" fontId="9" fillId="0" borderId="7" xfId="1" applyNumberFormat="1" applyFont="1" applyBorder="1" applyAlignment="1">
      <alignment horizontal="center" vertical="center" wrapText="1"/>
    </xf>
    <xf numFmtId="2" fontId="9" fillId="0" borderId="76" xfId="1" applyNumberFormat="1" applyFont="1" applyBorder="1" applyAlignment="1">
      <alignment horizontal="center" vertical="center" wrapText="1"/>
    </xf>
    <xf numFmtId="2" fontId="9" fillId="0" borderId="74" xfId="1" applyNumberFormat="1" applyFont="1" applyBorder="1" applyAlignment="1">
      <alignment horizontal="center" vertical="center" wrapText="1"/>
    </xf>
    <xf numFmtId="2" fontId="9" fillId="0" borderId="37" xfId="1" applyNumberFormat="1" applyFont="1" applyBorder="1" applyAlignment="1">
      <alignment horizontal="center" vertical="center" wrapText="1"/>
    </xf>
    <xf numFmtId="2" fontId="9" fillId="0" borderId="3" xfId="1" applyNumberFormat="1" applyFont="1" applyBorder="1" applyAlignment="1">
      <alignment horizontal="center" vertical="center" wrapText="1"/>
    </xf>
    <xf numFmtId="2" fontId="9" fillId="0" borderId="4" xfId="1" applyNumberFormat="1" applyFont="1" applyBorder="1" applyAlignment="1">
      <alignment horizontal="center" vertical="center" wrapText="1"/>
    </xf>
    <xf numFmtId="2" fontId="9" fillId="0" borderId="82" xfId="1" applyNumberFormat="1" applyFont="1" applyBorder="1" applyAlignment="1">
      <alignment horizontal="center" vertical="center" wrapText="1"/>
    </xf>
    <xf numFmtId="2" fontId="4" fillId="0" borderId="73" xfId="1" applyNumberFormat="1" applyFont="1" applyBorder="1" applyAlignment="1">
      <alignment horizontal="center" vertical="center" wrapText="1"/>
    </xf>
    <xf numFmtId="2" fontId="4" fillId="0" borderId="96" xfId="1" applyNumberFormat="1" applyFont="1" applyBorder="1" applyAlignment="1">
      <alignment horizontal="center" vertical="center" wrapText="1"/>
    </xf>
    <xf numFmtId="2" fontId="5" fillId="8" borderId="41" xfId="0" applyNumberFormat="1" applyFont="1" applyFill="1" applyBorder="1" applyAlignment="1">
      <alignment horizontal="center" vertical="center" wrapText="1"/>
    </xf>
    <xf numFmtId="2" fontId="5" fillId="8" borderId="46" xfId="0" applyNumberFormat="1" applyFont="1" applyFill="1" applyBorder="1" applyAlignment="1">
      <alignment horizontal="center" vertical="center" wrapText="1"/>
    </xf>
    <xf numFmtId="2" fontId="5" fillId="8" borderId="46" xfId="0" applyNumberFormat="1" applyFont="1" applyFill="1" applyBorder="1" applyAlignment="1">
      <alignment horizontal="center" vertical="center"/>
    </xf>
    <xf numFmtId="2" fontId="5" fillId="0" borderId="41" xfId="0" applyNumberFormat="1" applyFont="1" applyBorder="1" applyAlignment="1">
      <alignment horizontal="center" vertical="center"/>
    </xf>
    <xf numFmtId="2" fontId="5" fillId="8" borderId="41" xfId="0" applyNumberFormat="1" applyFont="1" applyFill="1" applyBorder="1" applyAlignment="1">
      <alignment horizontal="center" vertical="center"/>
    </xf>
    <xf numFmtId="2" fontId="5" fillId="8" borderId="48" xfId="0" applyNumberFormat="1" applyFont="1" applyFill="1" applyBorder="1" applyAlignment="1">
      <alignment horizontal="center" vertical="center"/>
    </xf>
    <xf numFmtId="2" fontId="5" fillId="8" borderId="81" xfId="0" applyNumberFormat="1" applyFont="1" applyFill="1" applyBorder="1" applyAlignment="1">
      <alignment horizontal="center" vertical="center"/>
    </xf>
    <xf numFmtId="2" fontId="5" fillId="8" borderId="39" xfId="1" applyNumberFormat="1" applyFont="1" applyFill="1" applyBorder="1" applyAlignment="1">
      <alignment horizontal="center" vertical="center"/>
    </xf>
    <xf numFmtId="2" fontId="9" fillId="8" borderId="46" xfId="0" applyNumberFormat="1" applyFont="1" applyFill="1" applyBorder="1" applyAlignment="1">
      <alignment horizontal="center" vertical="center"/>
    </xf>
    <xf numFmtId="2" fontId="9" fillId="8" borderId="39" xfId="0" applyNumberFormat="1" applyFont="1" applyFill="1" applyBorder="1" applyAlignment="1">
      <alignment horizontal="center" vertical="center"/>
    </xf>
    <xf numFmtId="2" fontId="9" fillId="8" borderId="48" xfId="0" applyNumberFormat="1" applyFont="1" applyFill="1" applyBorder="1" applyAlignment="1">
      <alignment horizontal="center" vertical="center"/>
    </xf>
    <xf numFmtId="2" fontId="9" fillId="8" borderId="41" xfId="0" applyNumberFormat="1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6" fontId="3" fillId="3" borderId="16" xfId="0" applyNumberFormat="1" applyFont="1" applyFill="1" applyBorder="1" applyAlignment="1">
      <alignment horizontal="center" vertical="center"/>
    </xf>
    <xf numFmtId="166" fontId="3" fillId="3" borderId="22" xfId="0" applyNumberFormat="1" applyFont="1" applyFill="1" applyBorder="1" applyAlignment="1">
      <alignment horizontal="center" vertical="center"/>
    </xf>
    <xf numFmtId="166" fontId="3" fillId="3" borderId="23" xfId="0" applyNumberFormat="1" applyFont="1" applyFill="1" applyBorder="1" applyAlignment="1">
      <alignment horizontal="center" vertical="center"/>
    </xf>
    <xf numFmtId="166" fontId="3" fillId="3" borderId="32" xfId="0" applyNumberFormat="1" applyFont="1" applyFill="1" applyBorder="1" applyAlignment="1">
      <alignment horizontal="center" vertical="center"/>
    </xf>
    <xf numFmtId="166" fontId="3" fillId="3" borderId="29" xfId="0" applyNumberFormat="1" applyFont="1" applyFill="1" applyBorder="1" applyAlignment="1">
      <alignment horizontal="center" vertical="center"/>
    </xf>
    <xf numFmtId="166" fontId="3" fillId="3" borderId="54" xfId="0" applyNumberFormat="1" applyFont="1" applyFill="1" applyBorder="1" applyAlignment="1">
      <alignment horizontal="center" vertical="center"/>
    </xf>
    <xf numFmtId="166" fontId="3" fillId="3" borderId="62" xfId="0" applyNumberFormat="1" applyFont="1" applyFill="1" applyBorder="1" applyAlignment="1">
      <alignment horizontal="center" vertical="center"/>
    </xf>
    <xf numFmtId="166" fontId="3" fillId="3" borderId="94" xfId="0" applyNumberFormat="1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vertical="center"/>
    </xf>
    <xf numFmtId="0" fontId="6" fillId="2" borderId="36" xfId="0" applyFont="1" applyFill="1" applyBorder="1" applyAlignment="1">
      <alignment vertical="center"/>
    </xf>
    <xf numFmtId="0" fontId="6" fillId="2" borderId="16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85" xfId="0" applyFont="1" applyBorder="1" applyAlignment="1">
      <alignment horizontal="center" vertical="center" wrapText="1"/>
    </xf>
    <xf numFmtId="0" fontId="4" fillId="0" borderId="86" xfId="0" applyFont="1" applyBorder="1" applyAlignment="1">
      <alignment horizontal="center" vertical="center" wrapText="1"/>
    </xf>
    <xf numFmtId="0" fontId="4" fillId="0" borderId="9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87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2" fontId="5" fillId="0" borderId="46" xfId="0" applyNumberFormat="1" applyFont="1" applyBorder="1" applyAlignment="1">
      <alignment horizontal="center" vertical="center"/>
    </xf>
    <xf numFmtId="2" fontId="5" fillId="0" borderId="41" xfId="0" applyNumberFormat="1" applyFont="1" applyBorder="1" applyAlignment="1">
      <alignment horizontal="center" vertical="center"/>
    </xf>
    <xf numFmtId="0" fontId="9" fillId="0" borderId="7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9" fillId="0" borderId="75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4" fillId="0" borderId="77" xfId="0" applyFont="1" applyBorder="1" applyAlignment="1">
      <alignment horizontal="center" vertical="center" wrapText="1"/>
    </xf>
    <xf numFmtId="0" fontId="4" fillId="0" borderId="78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83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97" xfId="0" applyFont="1" applyBorder="1" applyAlignment="1">
      <alignment horizontal="center" vertical="center" wrapText="1"/>
    </xf>
  </cellXfs>
  <cellStyles count="4">
    <cellStyle name="Normal" xfId="0" builtinId="0"/>
    <cellStyle name="Porcentagem" xfId="1" builtinId="5"/>
    <cellStyle name="Style0" xfId="2" xr:uid="{C28F2209-0113-4C3C-82C6-AA4DC0E4A798}"/>
    <cellStyle name="Vírgula" xfId="3" builtinId="3"/>
  </cellStyles>
  <dxfs count="943"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5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5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5"/>
        </patternFill>
      </fill>
    </dxf>
    <dxf>
      <fill>
        <patternFill>
          <bgColor theme="9" tint="0.39994506668294322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5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5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theme="0"/>
      </font>
    </dxf>
    <dxf>
      <numFmt numFmtId="4" formatCode="#,##0.00"/>
    </dxf>
    <dxf>
      <numFmt numFmtId="2" formatCode="0.00"/>
    </dxf>
    <dxf>
      <font>
        <color theme="9" tint="-0.499984740745262"/>
      </font>
    </dxf>
    <dxf>
      <fill>
        <patternFill patternType="solid">
          <bgColor rgb="FFFF0000"/>
        </patternFill>
      </fill>
    </dxf>
    <dxf>
      <fill>
        <patternFill patternType="solid">
          <bgColor rgb="FFFF9900"/>
        </patternFill>
      </fill>
    </dxf>
    <dxf>
      <font>
        <color theme="9" tint="-0.499984740745262"/>
      </font>
    </dxf>
    <dxf>
      <fill>
        <patternFill patternType="solid">
          <bgColor rgb="FFFFFF00"/>
        </patternFill>
      </fill>
    </dxf>
    <dxf>
      <fill>
        <patternFill patternType="solid">
          <bgColor theme="9" tint="0.39997558519241921"/>
        </patternFill>
      </fill>
    </dxf>
    <dxf>
      <font>
        <color theme="9" tint="-0.499984740745262"/>
      </font>
    </dxf>
    <dxf>
      <font>
        <color theme="9" tint="-0.499984740745262"/>
      </font>
    </dxf>
    <dxf>
      <numFmt numFmtId="1" formatCode="0"/>
    </dxf>
    <dxf>
      <numFmt numFmtId="2" formatCode="0.0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</dxfs>
  <tableStyles count="0" defaultTableStyle="TableStyleMedium2" defaultPivotStyle="PivotStyleMedium9"/>
  <colors>
    <mruColors>
      <color rgb="FFFF9900"/>
      <color rgb="FFED7D31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3.xml"/><Relationship Id="rId11" Type="http://schemas.openxmlformats.org/officeDocument/2006/relationships/calcChain" Target="calcChain.xml"/><Relationship Id="rId5" Type="http://schemas.microsoft.com/office/2007/relationships/slicerCache" Target="slicerCaches/slicerCache2.xml"/><Relationship Id="rId10" Type="http://schemas.openxmlformats.org/officeDocument/2006/relationships/sheetMetadata" Target="metadata.xml"/><Relationship Id="rId4" Type="http://schemas.microsoft.com/office/2007/relationships/slicerCache" Target="slicerCaches/slicerCache1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121920</xdr:colOff>
      <xdr:row>0</xdr:row>
      <xdr:rowOff>0</xdr:rowOff>
    </xdr:from>
    <xdr:to>
      <xdr:col>30</xdr:col>
      <xdr:colOff>405765</xdr:colOff>
      <xdr:row>33</xdr:row>
      <xdr:rowOff>99060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791C15C-95CE-4441-A985-7E77151CA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85620" y="0"/>
          <a:ext cx="12809220" cy="640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144780</xdr:colOff>
      <xdr:row>14</xdr:row>
      <xdr:rowOff>170784</xdr:rowOff>
    </xdr:from>
    <xdr:to>
      <xdr:col>16</xdr:col>
      <xdr:colOff>360045</xdr:colOff>
      <xdr:row>32</xdr:row>
      <xdr:rowOff>157512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5472FC6-E614-4ADF-92A1-FBA23D5BB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499580" y="3127344"/>
          <a:ext cx="2434590" cy="34233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114300</xdr:colOff>
      <xdr:row>4</xdr:row>
      <xdr:rowOff>144780</xdr:rowOff>
    </xdr:from>
    <xdr:to>
      <xdr:col>19</xdr:col>
      <xdr:colOff>1226820</xdr:colOff>
      <xdr:row>25</xdr:row>
      <xdr:rowOff>167640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Abastecimento (nº habitantes)">
              <a:extLst>
                <a:ext uri="{FF2B5EF4-FFF2-40B4-BE49-F238E27FC236}">
                  <a16:creationId xmlns:a16="http://schemas.microsoft.com/office/drawing/2014/main" id="{E4B7EFE8-ACFD-4B4D-ADAB-2F4749B2336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bastecimento (nº habitantes)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356580" y="868680"/>
              <a:ext cx="2575560" cy="3863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19</xdr:col>
      <xdr:colOff>1371600</xdr:colOff>
      <xdr:row>4</xdr:row>
      <xdr:rowOff>144780</xdr:rowOff>
    </xdr:from>
    <xdr:to>
      <xdr:col>23</xdr:col>
      <xdr:colOff>327660</xdr:colOff>
      <xdr:row>25</xdr:row>
      <xdr:rowOff>121920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Consumo per capita (L/d/hab.)">
              <a:extLst>
                <a:ext uri="{FF2B5EF4-FFF2-40B4-BE49-F238E27FC236}">
                  <a16:creationId xmlns:a16="http://schemas.microsoft.com/office/drawing/2014/main" id="{03CA0859-29B8-4690-9EFF-C6E5C4B6911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sumo per capita (L/d/hab.)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076920" y="868680"/>
              <a:ext cx="2613660" cy="381762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23</xdr:col>
      <xdr:colOff>426720</xdr:colOff>
      <xdr:row>4</xdr:row>
      <xdr:rowOff>137160</xdr:rowOff>
    </xdr:from>
    <xdr:to>
      <xdr:col>26</xdr:col>
      <xdr:colOff>571500</xdr:colOff>
      <xdr:row>25</xdr:row>
      <xdr:rowOff>144780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Área do Município (Km²)">
              <a:extLst>
                <a:ext uri="{FF2B5EF4-FFF2-40B4-BE49-F238E27FC236}">
                  <a16:creationId xmlns:a16="http://schemas.microsoft.com/office/drawing/2014/main" id="{85DCBEF6-BDB6-476B-8D43-C55C8E05ACF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Área do Município (Km²)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3789640" y="868680"/>
              <a:ext cx="2339340" cy="3848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teus" refreshedDate="44238.387822916666" createdVersion="6" refreshedVersion="6" minRefreshableVersion="3" recordCount="76" xr:uid="{EBA2B82A-6EA9-470E-8145-D947F8247E76}">
  <cacheSource type="worksheet">
    <worksheetSource name="Tabela1"/>
  </cacheSource>
  <cacheFields count="9">
    <cacheField name="Municipio" numFmtId="0">
      <sharedItems count="76">
        <s v="Jundiaí"/>
        <s v="Artur Nogueira "/>
        <s v="Rio Claro "/>
        <s v="Santa Bárbara D’Oeste "/>
        <s v="Santo Antonio de Posse "/>
        <s v="Elias Fausto "/>
        <s v="Vargem "/>
        <s v="Santa Gertrudes "/>
        <s v="Mogi Mirim "/>
        <s v="Capivari "/>
        <s v="Holambra "/>
        <s v="Bragança Paulista "/>
        <s v="Corumbataí "/>
        <s v="Morungaba "/>
        <s v="Engenheiro Coelho "/>
        <s v="Iracemápolis "/>
        <s v="Cosmópolis "/>
        <s v="Pedreira "/>
        <s v="Mombuca "/>
        <s v="Mairiporã "/>
        <s v="Jaguariúna "/>
        <s v="Rio das Pedras "/>
        <s v="Itupeva "/>
        <s v="Tuiuti "/>
        <s v="Cabreúva "/>
        <s v="Cordeirópolis "/>
        <s v="Campinas "/>
        <s v="Monte Mor "/>
        <s v="Limeira "/>
        <s v="Atibaia "/>
        <s v="Pedra Bela "/>
        <s v="Amparo "/>
        <s v="Várzea Paulista"/>
        <s v="Indaiatuba "/>
        <s v="Nova Odessa "/>
        <s v="Louveira "/>
        <s v="Nazaré Paulista "/>
        <s v="Campo Limpo Paulista "/>
        <s v="Extrema"/>
        <s v="Itatiba "/>
        <s v="Piracicaba "/>
        <s v="Joanópolis "/>
        <s v="Jarinu "/>
        <s v="Analândia "/>
        <s v="Itirapina "/>
        <s v="Monte Alegre do Sul "/>
        <s v="Sumaré "/>
        <s v="Hortolândia "/>
        <s v="Pinhalzinho "/>
        <s v="Rafard "/>
        <s v="Vinhedo "/>
        <s v="Charqueada "/>
        <s v="Americana "/>
        <s v="Saltinho "/>
        <s v="Salto "/>
        <s v="Bom Jesus dos Perdões  "/>
        <s v="São Pedro "/>
        <s v="Serra Negra "/>
        <s v="Camanducaia "/>
        <s v="Valinhos "/>
        <s v="Socorro "/>
        <s v="Ipeúna "/>
        <s v="Piracaia "/>
        <s v="Itu "/>
        <s v="Itapeva "/>
        <s v="Sapucaí-Mirim "/>
        <s v="Toledo "/>
        <s v="Águas de São Pedro "/>
        <s v="Anhembi "/>
        <s v="Botucatu "/>
        <s v="Brotas"/>
        <s v="Dois Córregos "/>
        <s v="Paulínia "/>
        <s v="Santa Maria da Serra "/>
        <s v="Tiete "/>
        <s v="Torrinha "/>
      </sharedItems>
    </cacheField>
    <cacheField name="1" numFmtId="2">
      <sharedItems containsSemiMixedTypes="0" containsString="0" containsNumber="1" minValue="0" maxValue="139.97320880449186"/>
    </cacheField>
    <cacheField name="2" numFmtId="2">
      <sharedItems containsSemiMixedTypes="0" containsString="0" containsNumber="1" minValue="0" maxValue="462.64808292411232"/>
    </cacheField>
    <cacheField name="3" numFmtId="2">
      <sharedItems containsSemiMixedTypes="0" containsString="0" containsNumber="1" minValue="0" maxValue="373.94674425879612"/>
    </cacheField>
    <cacheField name="4" numFmtId="2">
      <sharedItems containsSemiMixedTypes="0" containsString="0" containsNumber="1" minValue="0" maxValue="284.33128688115397"/>
    </cacheField>
    <cacheField name="5" numFmtId="2">
      <sharedItems containsSemiMixedTypes="0" containsString="0" containsNumber="1" minValue="0" maxValue="210.99729125350552"/>
    </cacheField>
    <cacheField name="Abastecimento (nº habitantes)" numFmtId="1">
      <sharedItems containsSemiMixedTypes="0" containsString="0" containsNumber="1" minValue="2" maxValue="1113804.3" count="76">
        <n v="384346.2"/>
        <n v="49624"/>
        <n v="194561"/>
        <n v="183503.43"/>
        <n v="19777.5"/>
        <n v="10969.92"/>
        <n v="4575.84"/>
        <n v="24365"/>
        <n v="4512"/>
        <n v="51391"/>
        <n v="9589.68"/>
        <n v="144391.24000000002"/>
        <n v="3758"/>
        <n v="10884.16"/>
        <n v="2819"/>
        <n v="21841.26"/>
        <n v="64243.1"/>
        <n v="44184.69"/>
        <n v="2877.09"/>
        <n v="11032.560000000001"/>
        <n v="49674.67"/>
        <n v="31557.98"/>
        <n v="41806.44"/>
        <n v="4847.92"/>
        <n v="28284"/>
        <n v="19577.2"/>
        <n v="1113804.3"/>
        <n v="55283"/>
        <n v="279422.08000000002"/>
        <n v="111041.54999999999"/>
        <n v="1467"/>
        <n v="53313.94"/>
        <n v="106213.08"/>
        <n v="209250.58"/>
        <n v="55347"/>
        <n v="44266"/>
        <n v="5966.76"/>
        <n v="63264"/>
        <n v="28294.559999999998"/>
        <n v="97154.64"/>
        <n v="376723"/>
        <n v="8319.8000000000011"/>
        <n v="27522"/>
        <n v="3099.28"/>
        <n v="2445.5"/>
        <n v="6469.78"/>
        <n v="267235"/>
        <n v="210721"/>
        <n v="7737.9500000000007"/>
        <n v="7085.5999999999995"/>
        <n v="66354.080000000002"/>
        <n v="15741.16"/>
        <n v="224512"/>
        <n v="6816"/>
        <n v="35054.909999999996"/>
        <n v="20310.3"/>
        <n v="32689"/>
        <n v="4681"/>
        <n v="14487.929999999998"/>
        <n v="106910.1"/>
        <n v="2136.6"/>
        <n v="5930.5599999999995"/>
        <n v="16983.780000000002"/>
        <n v="1159"/>
        <n v="4938.96"/>
        <n v="226.2"/>
        <n v="2349.16"/>
        <n v="2951"/>
        <n v="114"/>
        <n v="45"/>
        <n v="2"/>
        <n v="517"/>
        <n v="96837"/>
        <n v="4797"/>
        <n v="642"/>
        <n v="451"/>
      </sharedItems>
    </cacheField>
    <cacheField name="Consumo per capita (L/d/hab.)" numFmtId="0">
      <sharedItems containsSemiMixedTypes="0" containsString="0" containsNumber="1" minValue="0" maxValue="419.5" count="65">
        <n v="202.5"/>
        <n v="200"/>
        <n v="171.62"/>
        <n v="157.1"/>
        <n v="216.7"/>
        <n v="152.5"/>
        <n v="129.9"/>
        <n v="149.1"/>
        <n v="169.1"/>
        <n v="160.9"/>
        <n v="207"/>
        <n v="139.19999999999999"/>
        <n v="177.3"/>
        <n v="134.9"/>
        <n v="0"/>
        <n v="100"/>
        <n v="288.7"/>
        <n v="130.19999999999999"/>
        <n v="102.8"/>
        <n v="168.3"/>
        <n v="172.2"/>
        <n v="180.5"/>
        <n v="127.67"/>
        <n v="155"/>
        <n v="320"/>
        <n v="185.65"/>
        <n v="143.9"/>
        <n v="171"/>
        <n v="120"/>
        <n v="154.4"/>
        <n v="154.19999999999999"/>
        <n v="122.3"/>
        <n v="187.9"/>
        <n v="152.69999999999999"/>
        <n v="129.69999999999999"/>
        <n v="191.6"/>
        <n v="144"/>
        <n v="168.1"/>
        <n v="149.5"/>
        <n v="189.6"/>
        <n v="166.1"/>
        <n v="111.1"/>
        <n v="240.2"/>
        <n v="167.3"/>
        <n v="141.80000000000001"/>
        <n v="168.4"/>
        <n v="133.69999999999999"/>
        <n v="220"/>
        <n v="189.1"/>
        <n v="164.9"/>
        <n v="222.4"/>
        <n v="128.80000000000001"/>
        <n v="180.2"/>
        <n v="134.6"/>
        <n v="142.1"/>
        <n v="179.88"/>
        <n v="194"/>
        <n v="154"/>
        <n v="170.04"/>
        <n v="150.6"/>
        <n v="162.19999999999999"/>
        <n v="127.8"/>
        <n v="419.5"/>
        <n v="163.4"/>
        <n v="170.5"/>
      </sharedItems>
    </cacheField>
    <cacheField name="Área do Município (Km²)" numFmtId="2">
      <sharedItems containsSemiMixedTypes="0" containsString="0" containsNumber="1" minValue="5.55" maxValue="1486.1" count="76">
        <n v="431.25"/>
        <n v="178.09800000000001"/>
        <n v="498.38"/>
        <n v="271.07"/>
        <n v="154.03"/>
        <n v="202.83"/>
        <n v="142.57"/>
        <n v="98.38"/>
        <n v="497.93"/>
        <n v="323.14"/>
        <n v="65.599999999999994"/>
        <n v="512.54"/>
        <n v="278.89999999999998"/>
        <n v="146.75"/>
        <n v="109.99"/>
        <n v="115.22"/>
        <n v="154.72999999999999"/>
        <n v="108.61"/>
        <n v="133.83000000000001"/>
        <n v="320.19"/>
        <n v="141.44"/>
        <n v="226.86"/>
        <n v="200.88"/>
        <n v="126.69"/>
        <n v="260.32"/>
        <n v="137.68"/>
        <n v="794.68"/>
        <n v="240.56"/>
        <n v="581.11"/>
        <n v="478.45"/>
        <n v="158.55000000000001"/>
        <n v="445.57"/>
        <n v="35.119999999999997"/>
        <n v="312.2"/>
        <n v="74.36"/>
        <n v="55.14"/>
        <n v="326.19"/>
        <n v="79.400000000000006"/>
        <n v="244.46"/>
        <n v="322.26"/>
        <n v="1380.24"/>
        <n v="374.15"/>
        <n v="207.64"/>
        <n v="326.02999999999997"/>
        <n v="565.5"/>
        <n v="110.3"/>
        <n v="153.61000000000001"/>
        <n v="62.31"/>
        <n v="154.51"/>
        <n v="121.76"/>
        <n v="81.62"/>
        <n v="176.12"/>
        <n v="134.01"/>
        <n v="99.82"/>
        <n v="133.29"/>
        <n v="108.34"/>
        <n v="609.97"/>
        <n v="203.73"/>
        <n v="528.22"/>
        <n v="148.63"/>
        <n v="448.95"/>
        <n v="190.25"/>
        <n v="385.4"/>
        <n v="639.95000000000005"/>
        <n v="177.27"/>
        <n v="284.89999999999998"/>
        <n v="136.74"/>
        <n v="5.55"/>
        <n v="737.97"/>
        <n v="1486.1"/>
        <n v="1103.25"/>
        <n v="634.30999999999995"/>
        <n v="138.78"/>
        <n v="253.08"/>
        <n v="404.85"/>
        <n v="315.83999999999997"/>
      </sharedItems>
    </cacheField>
  </cacheFields>
  <extLst>
    <ext xmlns:x14="http://schemas.microsoft.com/office/spreadsheetml/2009/9/main" uri="{725AE2AE-9491-48be-B2B4-4EB974FC3084}">
      <x14:pivotCacheDefinition pivotCacheId="121404955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6">
  <r>
    <x v="0"/>
    <n v="8.7476022558109351E-2"/>
    <n v="13.259883998820671"/>
    <n v="24.164230503759306"/>
    <n v="132.70227855033158"/>
    <n v="210.99729125350552"/>
    <x v="0"/>
    <x v="0"/>
    <x v="0"/>
  </r>
  <r>
    <x v="1"/>
    <n v="0"/>
    <n v="24.161983335583368"/>
    <n v="4.0788121432639892"/>
    <n v="0"/>
    <n v="149.81448397093885"/>
    <x v="1"/>
    <x v="1"/>
    <x v="1"/>
  </r>
  <r>
    <x v="2"/>
    <n v="0"/>
    <n v="72.983712559969916"/>
    <n v="245.14894560459524"/>
    <n v="55.54725822809602"/>
    <n v="115.07215238776878"/>
    <x v="2"/>
    <x v="2"/>
    <x v="2"/>
  </r>
  <r>
    <x v="3"/>
    <n v="80.04608358278027"/>
    <n v="44.82771890784791"/>
    <n v="34.326041991169674"/>
    <n v="1.7930222591948615"/>
    <n v="110.07713322394989"/>
    <x v="3"/>
    <x v="3"/>
    <x v="3"/>
  </r>
  <r>
    <x v="4"/>
    <n v="0"/>
    <n v="10.730625872938353"/>
    <n v="38.313354996659093"/>
    <n v="0"/>
    <n v="104.90182810859432"/>
    <x v="4"/>
    <x v="4"/>
    <x v="4"/>
  </r>
  <r>
    <x v="5"/>
    <n v="0"/>
    <n v="0"/>
    <n v="23.406261713686231"/>
    <n v="0"/>
    <n v="79.295946833764646"/>
    <x v="5"/>
    <x v="5"/>
    <x v="5"/>
  </r>
  <r>
    <x v="6"/>
    <n v="0"/>
    <n v="13.05885954129441"/>
    <n v="53.971328554527567"/>
    <n v="9.5775680583097024E-3"/>
    <n v="75.530234284805928"/>
    <x v="6"/>
    <x v="6"/>
    <x v="6"/>
  </r>
  <r>
    <x v="7"/>
    <n v="0"/>
    <n v="16.398297424127861"/>
    <n v="25.625535930411701"/>
    <n v="0"/>
    <n v="56.356166801179242"/>
    <x v="7"/>
    <x v="7"/>
    <x v="7"/>
  </r>
  <r>
    <x v="8"/>
    <n v="0"/>
    <n v="107.78731855594987"/>
    <n v="0"/>
    <n v="0"/>
    <n v="49.851361892386571"/>
    <x v="8"/>
    <x v="8"/>
    <x v="8"/>
  </r>
  <r>
    <x v="9"/>
    <n v="0.38739948592850421"/>
    <n v="130.95042476271408"/>
    <n v="128.57857042057989"/>
    <n v="11.924690333859891"/>
    <n v="48.638910103244683"/>
    <x v="9"/>
    <x v="9"/>
    <x v="9"/>
  </r>
  <r>
    <x v="10"/>
    <n v="0"/>
    <n v="6.8982969728009511"/>
    <n v="4.7183099355378726"/>
    <n v="6.1163549122412038"/>
    <n v="47.867038136537658"/>
    <x v="10"/>
    <x v="10"/>
    <x v="10"/>
  </r>
  <r>
    <x v="11"/>
    <n v="73.493175883156198"/>
    <n v="76.91370710316653"/>
    <n v="172.82291133660948"/>
    <n v="143.93260165676986"/>
    <n v="45.377604059047115"/>
    <x v="11"/>
    <x v="11"/>
    <x v="11"/>
  </r>
  <r>
    <x v="12"/>
    <n v="0"/>
    <n v="0"/>
    <n v="135.33895627031495"/>
    <n v="52.568505172221009"/>
    <n v="44.987918626739123"/>
    <x v="12"/>
    <x v="12"/>
    <x v="12"/>
  </r>
  <r>
    <x v="13"/>
    <n v="31.899573218004775"/>
    <n v="0.85462788993313543"/>
    <n v="5.9454370851063301"/>
    <n v="65.846385351738675"/>
    <n v="42.203976456218115"/>
    <x v="13"/>
    <x v="13"/>
    <x v="13"/>
  </r>
  <r>
    <x v="14"/>
    <n v="0"/>
    <n v="0"/>
    <n v="9.4034037782099631"/>
    <n v="0"/>
    <n v="39.407989524207544"/>
    <x v="14"/>
    <x v="14"/>
    <x v="14"/>
  </r>
  <r>
    <x v="15"/>
    <n v="0"/>
    <n v="16.497733119337475"/>
    <n v="22.96661169768182"/>
    <n v="43.939091687428153"/>
    <n v="31.816563508118104"/>
    <x v="15"/>
    <x v="15"/>
    <x v="15"/>
  </r>
  <r>
    <x v="16"/>
    <n v="0"/>
    <n v="43.386390048377862"/>
    <n v="4.3378306230851189"/>
    <n v="75.740763073491408"/>
    <n v="31.265016267643794"/>
    <x v="16"/>
    <x v="16"/>
    <x v="16"/>
  </r>
  <r>
    <x v="17"/>
    <n v="0"/>
    <n v="0"/>
    <n v="38.591627757149844"/>
    <n v="39.446719731372497"/>
    <n v="30.571652476913393"/>
    <x v="17"/>
    <x v="17"/>
    <x v="17"/>
  </r>
  <r>
    <x v="18"/>
    <n v="0"/>
    <n v="55.371514482511138"/>
    <n v="0.30714813279974257"/>
    <n v="50.68002134862212"/>
    <n v="27.222587297879858"/>
    <x v="18"/>
    <x v="8"/>
    <x v="18"/>
  </r>
  <r>
    <x v="19"/>
    <n v="0"/>
    <n v="0"/>
    <n v="12.665189728886327"/>
    <n v="0"/>
    <n v="26.935619462581688"/>
    <x v="19"/>
    <x v="18"/>
    <x v="19"/>
  </r>
  <r>
    <x v="20"/>
    <n v="0"/>
    <n v="44.353228006808074"/>
    <n v="38.123854255695107"/>
    <n v="36.309359381318501"/>
    <n v="22.653558364331349"/>
    <x v="20"/>
    <x v="19"/>
    <x v="20"/>
  </r>
  <r>
    <x v="21"/>
    <n v="33.4411087426531"/>
    <n v="32.074791364218392"/>
    <n v="99.437500860020407"/>
    <n v="35.615203826248504"/>
    <n v="22.260775039142985"/>
    <x v="21"/>
    <x v="20"/>
    <x v="21"/>
  </r>
  <r>
    <x v="22"/>
    <n v="83.36086910856524"/>
    <n v="21.083893316063421"/>
    <n v="17.667061260160441"/>
    <n v="57.032319727362378"/>
    <n v="21.735856545241834"/>
    <x v="22"/>
    <x v="21"/>
    <x v="22"/>
  </r>
  <r>
    <x v="23"/>
    <n v="0"/>
    <n v="0"/>
    <n v="98.10880299288398"/>
    <n v="13.147373186626908"/>
    <n v="15.433823828895619"/>
    <x v="23"/>
    <x v="22"/>
    <x v="23"/>
  </r>
  <r>
    <x v="24"/>
    <n v="8.4475532055892271E-5"/>
    <n v="54.942523778907528"/>
    <n v="50.135536211069173"/>
    <n v="1.5282387260833634"/>
    <n v="10.020361645491498"/>
    <x v="24"/>
    <x v="23"/>
    <x v="24"/>
  </r>
  <r>
    <x v="25"/>
    <n v="0"/>
    <n v="0.38609295909752772"/>
    <n v="130.47554098073991"/>
    <n v="0.45308573128887258"/>
    <n v="6.0324198736276466"/>
    <x v="25"/>
    <x v="24"/>
    <x v="25"/>
  </r>
  <r>
    <x v="26"/>
    <n v="40.139303518218767"/>
    <n v="462.64808292411232"/>
    <n v="172.20184747824931"/>
    <n v="116.72303815155345"/>
    <n v="2.9677279540997445"/>
    <x v="26"/>
    <x v="25"/>
    <x v="26"/>
  </r>
  <r>
    <x v="27"/>
    <n v="0"/>
    <n v="73.981786488139448"/>
    <n v="164.73751060889313"/>
    <n v="0"/>
    <n v="1.8407028591207466"/>
    <x v="27"/>
    <x v="26"/>
    <x v="27"/>
  </r>
  <r>
    <x v="28"/>
    <n v="29.910364690269137"/>
    <n v="81.294748842849231"/>
    <n v="373.94674425879612"/>
    <n v="93.65528541420187"/>
    <n v="1.3705967375399577"/>
    <x v="28"/>
    <x v="27"/>
    <x v="28"/>
  </r>
  <r>
    <x v="29"/>
    <n v="74.994496064543767"/>
    <n v="99.73428938881716"/>
    <n v="139.52745568806722"/>
    <n v="161.94851429988208"/>
    <n v="1.1941909217444342"/>
    <x v="29"/>
    <x v="28"/>
    <x v="29"/>
  </r>
  <r>
    <x v="30"/>
    <n v="0"/>
    <n v="69.852953699682715"/>
    <n v="23.49959938780637"/>
    <n v="64.130165351187131"/>
    <n v="1.0672815774822912"/>
    <x v="30"/>
    <x v="29"/>
    <x v="30"/>
  </r>
  <r>
    <x v="31"/>
    <n v="91.680719129579671"/>
    <n v="86.959683015108851"/>
    <n v="147.15189529619562"/>
    <n v="63.63800554760671"/>
    <n v="0.91787137997432122"/>
    <x v="31"/>
    <x v="30"/>
    <x v="31"/>
  </r>
  <r>
    <x v="32"/>
    <n v="0.72163389188506133"/>
    <n v="33.717863162081116"/>
    <n v="0"/>
    <n v="6.1131164905952793E-4"/>
    <n v="0.67989163912928041"/>
    <x v="32"/>
    <x v="31"/>
    <x v="32"/>
  </r>
  <r>
    <x v="33"/>
    <n v="9.5376039361081464"/>
    <n v="1.7483724045445259"/>
    <n v="169.0169744970182"/>
    <n v="81.817935707322405"/>
    <n v="0.36713858160529989"/>
    <x v="33"/>
    <x v="32"/>
    <x v="33"/>
  </r>
  <r>
    <x v="34"/>
    <n v="0"/>
    <n v="32.555943614407141"/>
    <n v="0.48627958712528185"/>
    <n v="41.034055950404593"/>
    <n v="0.28372089106430909"/>
    <x v="34"/>
    <x v="33"/>
    <x v="34"/>
  </r>
  <r>
    <x v="35"/>
    <n v="0"/>
    <n v="0"/>
    <n v="0.2269400576340953"/>
    <n v="54.687004777638876"/>
    <n v="0.22605517635740638"/>
    <x v="35"/>
    <x v="34"/>
    <x v="35"/>
  </r>
  <r>
    <x v="36"/>
    <n v="17.826585632484303"/>
    <n v="201.3648839243653"/>
    <n v="51.061020837728407"/>
    <n v="0.31498793044606643"/>
    <n v="9.938978041704162E-2"/>
    <x v="36"/>
    <x v="35"/>
    <x v="36"/>
  </r>
  <r>
    <x v="37"/>
    <n v="41.964297660926924"/>
    <n v="0.23092400940293767"/>
    <n v="7.8896351900683656E-2"/>
    <n v="36.024198291294525"/>
    <n v="5.5924153504375261E-2"/>
    <x v="37"/>
    <x v="36"/>
    <x v="37"/>
  </r>
  <r>
    <x v="38"/>
    <n v="0"/>
    <n v="97.243997835258256"/>
    <n v="136.62616154969274"/>
    <n v="10.340195334085296"/>
    <n v="2.5783701753566389E-2"/>
    <x v="38"/>
    <x v="37"/>
    <x v="38"/>
  </r>
  <r>
    <x v="39"/>
    <n v="68.841153068234348"/>
    <n v="72.683448735952695"/>
    <n v="177.79375210018745"/>
    <n v="2.9416071575211884"/>
    <n v="3.896366326956604E-5"/>
    <x v="39"/>
    <x v="38"/>
    <x v="39"/>
  </r>
  <r>
    <x v="40"/>
    <n v="139.97320880449186"/>
    <n v="248.40472839226203"/>
    <n v="362.75772154657284"/>
    <n v="284.33128688115397"/>
    <n v="0"/>
    <x v="40"/>
    <x v="39"/>
    <x v="40"/>
  </r>
  <r>
    <x v="41"/>
    <n v="0"/>
    <n v="88.121625043842258"/>
    <n v="285.44392909370487"/>
    <n v="0.29884227953427273"/>
    <n v="0"/>
    <x v="41"/>
    <x v="33"/>
    <x v="41"/>
  </r>
  <r>
    <x v="42"/>
    <n v="9.7713605975986075E-3"/>
    <n v="35.422634749296812"/>
    <n v="130.97529823109329"/>
    <n v="41.23229566301243"/>
    <n v="0"/>
    <x v="42"/>
    <x v="40"/>
    <x v="42"/>
  </r>
  <r>
    <x v="43"/>
    <n v="66.876694318948751"/>
    <n v="0"/>
    <n v="111.25430447464865"/>
    <n v="0"/>
    <n v="0"/>
    <x v="43"/>
    <x v="41"/>
    <x v="43"/>
  </r>
  <r>
    <x v="44"/>
    <n v="0.23244461523017154"/>
    <n v="36.867338029511366"/>
    <n v="105.35948453523467"/>
    <n v="158.0108589968456"/>
    <n v="0"/>
    <x v="44"/>
    <x v="42"/>
    <x v="44"/>
  </r>
  <r>
    <x v="45"/>
    <n v="2.1958832838137474"/>
    <n v="16.72673371146708"/>
    <n v="91.216136808965004"/>
    <n v="0.16011406952849788"/>
    <n v="0"/>
    <x v="45"/>
    <x v="43"/>
    <x v="45"/>
  </r>
  <r>
    <x v="46"/>
    <n v="0"/>
    <n v="57.862104947360336"/>
    <n v="90.31313179177333"/>
    <n v="5.4347632536471204"/>
    <n v="0"/>
    <x v="46"/>
    <x v="44"/>
    <x v="46"/>
  </r>
  <r>
    <x v="47"/>
    <n v="0.18103678739643558"/>
    <n v="3.6800945322095622"/>
    <n v="58.413928141049475"/>
    <n v="3.4940547608062422E-2"/>
    <n v="0"/>
    <x v="47"/>
    <x v="45"/>
    <x v="47"/>
  </r>
  <r>
    <x v="48"/>
    <n v="0"/>
    <n v="49.336808862377197"/>
    <n v="50.119010333395359"/>
    <n v="55.054180749847326"/>
    <n v="0"/>
    <x v="48"/>
    <x v="46"/>
    <x v="48"/>
  </r>
  <r>
    <x v="49"/>
    <n v="0"/>
    <n v="36.484461116752541"/>
    <n v="41.305018997480552"/>
    <n v="0.47586293967466359"/>
    <n v="0"/>
    <x v="49"/>
    <x v="47"/>
    <x v="49"/>
  </r>
  <r>
    <x v="50"/>
    <n v="0"/>
    <n v="0.24231318229087723"/>
    <n v="39.315721806331659"/>
    <n v="42.061964999631329"/>
    <n v="0"/>
    <x v="50"/>
    <x v="48"/>
    <x v="50"/>
  </r>
  <r>
    <x v="51"/>
    <n v="0.9338586644064788"/>
    <n v="15.069184809726677"/>
    <n v="37.881027589581215"/>
    <n v="122.23592894857475"/>
    <n v="0"/>
    <x v="51"/>
    <x v="49"/>
    <x v="51"/>
  </r>
  <r>
    <x v="52"/>
    <n v="0"/>
    <n v="89.093312014120698"/>
    <n v="23.469438420322255"/>
    <n v="21.447249571952124"/>
    <n v="0"/>
    <x v="52"/>
    <x v="50"/>
    <x v="52"/>
  </r>
  <r>
    <x v="53"/>
    <n v="0"/>
    <n v="0.4477270331445059"/>
    <n v="21.914411631874625"/>
    <n v="7.098841424019013"/>
    <n v="0"/>
    <x v="53"/>
    <x v="51"/>
    <x v="53"/>
  </r>
  <r>
    <x v="54"/>
    <n v="0"/>
    <n v="0"/>
    <n v="21.470396128609266"/>
    <n v="12.801073968355146"/>
    <n v="0"/>
    <x v="54"/>
    <x v="52"/>
    <x v="54"/>
  </r>
  <r>
    <x v="55"/>
    <n v="9.5859484464961035E-4"/>
    <n v="14.272630720233099"/>
    <n v="16.779856841861925"/>
    <n v="76.750691396116025"/>
    <n v="0"/>
    <x v="55"/>
    <x v="53"/>
    <x v="55"/>
  </r>
  <r>
    <x v="56"/>
    <n v="30.054940181235644"/>
    <n v="384.11267706867966"/>
    <n v="15.582790723774012"/>
    <n v="122.81763508913727"/>
    <n v="0"/>
    <x v="56"/>
    <x v="54"/>
    <x v="56"/>
  </r>
  <r>
    <x v="57"/>
    <n v="18.859038758255036"/>
    <n v="1.0259033579886125"/>
    <n v="7.603351418831501"/>
    <n v="0"/>
    <n v="0"/>
    <x v="57"/>
    <x v="14"/>
    <x v="57"/>
  </r>
  <r>
    <x v="58"/>
    <n v="0"/>
    <n v="276.32950756549354"/>
    <n v="6.6812767331539398"/>
    <n v="216.0065983239536"/>
    <n v="0"/>
    <x v="58"/>
    <x v="55"/>
    <x v="58"/>
  </r>
  <r>
    <x v="59"/>
    <n v="20.920181766112762"/>
    <n v="30.988473440091006"/>
    <n v="0.7428685623063217"/>
    <n v="95.978476226338387"/>
    <n v="0"/>
    <x v="59"/>
    <x v="56"/>
    <x v="59"/>
  </r>
  <r>
    <x v="60"/>
    <n v="0"/>
    <n v="100.78020471166484"/>
    <n v="0.6700368641123986"/>
    <n v="0"/>
    <n v="0"/>
    <x v="60"/>
    <x v="57"/>
    <x v="60"/>
  </r>
  <r>
    <x v="61"/>
    <n v="0"/>
    <n v="125.80214053471681"/>
    <n v="0.14777156326989876"/>
    <n v="64.300087897275048"/>
    <n v="0"/>
    <x v="61"/>
    <x v="58"/>
    <x v="61"/>
  </r>
  <r>
    <x v="62"/>
    <n v="123.00679230370764"/>
    <n v="259.96302804505001"/>
    <n v="0.12994477678274916"/>
    <n v="1.2454531245350886"/>
    <n v="0"/>
    <x v="62"/>
    <x v="59"/>
    <x v="62"/>
  </r>
  <r>
    <x v="63"/>
    <n v="0"/>
    <n v="4.7044582719499362"/>
    <n v="0.11594446282140468"/>
    <n v="62.918129037130953"/>
    <n v="0"/>
    <x v="63"/>
    <x v="14"/>
    <x v="63"/>
  </r>
  <r>
    <x v="64"/>
    <n v="0"/>
    <n v="49.326618226469847"/>
    <n v="0"/>
    <n v="127.19188814788106"/>
    <n v="0"/>
    <x v="64"/>
    <x v="60"/>
    <x v="64"/>
  </r>
  <r>
    <x v="65"/>
    <n v="0"/>
    <n v="0.23929287388807111"/>
    <n v="0"/>
    <n v="102.77088586544241"/>
    <n v="0"/>
    <x v="65"/>
    <x v="61"/>
    <x v="65"/>
  </r>
  <r>
    <x v="66"/>
    <n v="0"/>
    <n v="136.47094580701778"/>
    <n v="0"/>
    <n v="0"/>
    <n v="0"/>
    <x v="66"/>
    <x v="39"/>
    <x v="66"/>
  </r>
  <r>
    <x v="67"/>
    <n v="0"/>
    <n v="5.0056223870574055"/>
    <n v="0"/>
    <n v="0.54437761075064828"/>
    <n v="0"/>
    <x v="67"/>
    <x v="62"/>
    <x v="67"/>
  </r>
  <r>
    <x v="68"/>
    <n v="0"/>
    <n v="77.581414937201998"/>
    <n v="0"/>
    <n v="0"/>
    <n v="0"/>
    <x v="68"/>
    <x v="14"/>
    <x v="68"/>
  </r>
  <r>
    <x v="69"/>
    <n v="0"/>
    <n v="71.34040295019453"/>
    <n v="0"/>
    <n v="0"/>
    <n v="0"/>
    <x v="69"/>
    <x v="14"/>
    <x v="69"/>
  </r>
  <r>
    <x v="70"/>
    <n v="0"/>
    <n v="0.86739418486368391"/>
    <n v="0"/>
    <n v="0"/>
    <n v="0"/>
    <x v="70"/>
    <x v="14"/>
    <x v="70"/>
  </r>
  <r>
    <x v="71"/>
    <n v="0"/>
    <n v="226.0495953313447"/>
    <n v="0"/>
    <n v="0"/>
    <n v="0"/>
    <x v="71"/>
    <x v="63"/>
    <x v="71"/>
  </r>
  <r>
    <x v="72"/>
    <n v="0"/>
    <n v="75.136301805794943"/>
    <n v="0"/>
    <n v="63.643698213506298"/>
    <n v="0"/>
    <x v="72"/>
    <x v="64"/>
    <x v="72"/>
  </r>
  <r>
    <x v="73"/>
    <n v="0"/>
    <n v="253.08"/>
    <n v="0"/>
    <n v="0"/>
    <n v="0"/>
    <x v="73"/>
    <x v="49"/>
    <x v="73"/>
  </r>
  <r>
    <x v="74"/>
    <n v="0"/>
    <n v="75.499876257944891"/>
    <n v="0"/>
    <n v="0"/>
    <n v="0"/>
    <x v="74"/>
    <x v="14"/>
    <x v="74"/>
  </r>
  <r>
    <x v="75"/>
    <n v="0"/>
    <n v="124.50380442628079"/>
    <n v="0"/>
    <n v="0"/>
    <n v="0"/>
    <x v="75"/>
    <x v="30"/>
    <x v="7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A05E82B-ABA1-4538-973C-3FC25BCC0105}" name="Tabela dinâ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rowHeaderCaption="Municípios">
  <location ref="L6:Q83" firstHeaderRow="0" firstDataRow="1" firstDataCol="1"/>
  <pivotFields count="9">
    <pivotField axis="axisRow" showAll="0">
      <items count="77">
        <item x="67"/>
        <item x="52"/>
        <item x="31"/>
        <item x="43"/>
        <item x="68"/>
        <item x="1"/>
        <item x="29"/>
        <item x="55"/>
        <item x="69"/>
        <item x="11"/>
        <item x="70"/>
        <item x="24"/>
        <item x="58"/>
        <item x="26"/>
        <item x="37"/>
        <item x="9"/>
        <item x="51"/>
        <item x="25"/>
        <item x="12"/>
        <item x="16"/>
        <item x="71"/>
        <item x="5"/>
        <item x="14"/>
        <item x="38"/>
        <item x="10"/>
        <item x="47"/>
        <item x="33"/>
        <item x="61"/>
        <item x="15"/>
        <item x="64"/>
        <item x="39"/>
        <item x="44"/>
        <item x="63"/>
        <item x="22"/>
        <item x="20"/>
        <item x="42"/>
        <item x="41"/>
        <item x="0"/>
        <item x="28"/>
        <item x="35"/>
        <item x="19"/>
        <item x="8"/>
        <item x="18"/>
        <item x="45"/>
        <item x="27"/>
        <item x="13"/>
        <item x="36"/>
        <item x="34"/>
        <item x="72"/>
        <item x="30"/>
        <item x="17"/>
        <item x="48"/>
        <item x="62"/>
        <item x="40"/>
        <item x="49"/>
        <item x="2"/>
        <item x="21"/>
        <item x="53"/>
        <item x="54"/>
        <item x="3"/>
        <item x="7"/>
        <item x="73"/>
        <item x="4"/>
        <item x="56"/>
        <item x="65"/>
        <item x="57"/>
        <item x="60"/>
        <item x="46"/>
        <item x="74"/>
        <item x="66"/>
        <item x="75"/>
        <item x="23"/>
        <item x="59"/>
        <item x="6"/>
        <item x="32"/>
        <item x="50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>
      <items count="77">
        <item x="70"/>
        <item x="69"/>
        <item x="68"/>
        <item x="65"/>
        <item x="75"/>
        <item x="71"/>
        <item x="74"/>
        <item x="63"/>
        <item x="30"/>
        <item x="60"/>
        <item x="66"/>
        <item x="44"/>
        <item x="14"/>
        <item x="18"/>
        <item x="67"/>
        <item x="43"/>
        <item x="12"/>
        <item x="8"/>
        <item x="6"/>
        <item x="57"/>
        <item x="73"/>
        <item x="23"/>
        <item x="64"/>
        <item x="61"/>
        <item x="36"/>
        <item x="45"/>
        <item x="53"/>
        <item x="49"/>
        <item x="48"/>
        <item x="41"/>
        <item x="10"/>
        <item x="13"/>
        <item x="5"/>
        <item x="19"/>
        <item x="58"/>
        <item x="51"/>
        <item x="62"/>
        <item x="25"/>
        <item x="4"/>
        <item x="55"/>
        <item x="15"/>
        <item x="7"/>
        <item x="42"/>
        <item x="24"/>
        <item x="38"/>
        <item x="21"/>
        <item x="56"/>
        <item x="54"/>
        <item x="22"/>
        <item x="17"/>
        <item x="35"/>
        <item x="1"/>
        <item x="20"/>
        <item x="9"/>
        <item x="31"/>
        <item x="27"/>
        <item x="34"/>
        <item x="37"/>
        <item x="16"/>
        <item x="50"/>
        <item x="72"/>
        <item x="39"/>
        <item x="32"/>
        <item x="59"/>
        <item x="29"/>
        <item x="11"/>
        <item x="3"/>
        <item x="2"/>
        <item x="33"/>
        <item x="47"/>
        <item x="52"/>
        <item x="46"/>
        <item x="28"/>
        <item x="40"/>
        <item x="0"/>
        <item x="26"/>
        <item t="default"/>
      </items>
    </pivotField>
    <pivotField showAll="0">
      <items count="66">
        <item x="14"/>
        <item x="15"/>
        <item x="18"/>
        <item x="41"/>
        <item x="28"/>
        <item x="31"/>
        <item x="22"/>
        <item x="61"/>
        <item x="51"/>
        <item x="34"/>
        <item x="6"/>
        <item x="17"/>
        <item x="46"/>
        <item x="53"/>
        <item x="13"/>
        <item x="11"/>
        <item x="44"/>
        <item x="54"/>
        <item x="26"/>
        <item x="36"/>
        <item x="7"/>
        <item x="38"/>
        <item x="59"/>
        <item x="5"/>
        <item x="33"/>
        <item x="57"/>
        <item x="30"/>
        <item x="29"/>
        <item x="23"/>
        <item x="3"/>
        <item x="9"/>
        <item x="60"/>
        <item x="63"/>
        <item x="49"/>
        <item x="40"/>
        <item x="43"/>
        <item x="37"/>
        <item x="19"/>
        <item x="45"/>
        <item x="8"/>
        <item x="58"/>
        <item x="64"/>
        <item x="27"/>
        <item x="2"/>
        <item x="20"/>
        <item x="12"/>
        <item x="55"/>
        <item x="52"/>
        <item x="21"/>
        <item x="25"/>
        <item x="32"/>
        <item x="48"/>
        <item x="39"/>
        <item x="35"/>
        <item x="56"/>
        <item x="1"/>
        <item x="0"/>
        <item x="10"/>
        <item x="4"/>
        <item x="47"/>
        <item x="50"/>
        <item x="42"/>
        <item x="16"/>
        <item x="24"/>
        <item x="62"/>
        <item t="default"/>
      </items>
    </pivotField>
    <pivotField showAll="0">
      <items count="77">
        <item x="67"/>
        <item x="32"/>
        <item x="35"/>
        <item x="47"/>
        <item x="10"/>
        <item x="34"/>
        <item x="37"/>
        <item x="50"/>
        <item x="7"/>
        <item x="53"/>
        <item x="55"/>
        <item x="17"/>
        <item x="14"/>
        <item x="45"/>
        <item x="15"/>
        <item x="49"/>
        <item x="23"/>
        <item x="54"/>
        <item x="18"/>
        <item x="52"/>
        <item x="66"/>
        <item x="25"/>
        <item x="72"/>
        <item x="20"/>
        <item x="6"/>
        <item x="13"/>
        <item x="59"/>
        <item x="46"/>
        <item x="4"/>
        <item x="48"/>
        <item x="16"/>
        <item x="30"/>
        <item x="51"/>
        <item x="64"/>
        <item x="1"/>
        <item x="61"/>
        <item x="22"/>
        <item x="5"/>
        <item x="57"/>
        <item x="42"/>
        <item x="21"/>
        <item x="27"/>
        <item x="38"/>
        <item x="73"/>
        <item x="24"/>
        <item x="3"/>
        <item x="12"/>
        <item x="65"/>
        <item x="33"/>
        <item x="75"/>
        <item x="19"/>
        <item x="39"/>
        <item x="9"/>
        <item x="43"/>
        <item x="36"/>
        <item x="41"/>
        <item x="62"/>
        <item x="74"/>
        <item x="0"/>
        <item x="31"/>
        <item x="60"/>
        <item x="29"/>
        <item x="8"/>
        <item x="2"/>
        <item x="11"/>
        <item x="58"/>
        <item x="44"/>
        <item x="28"/>
        <item x="56"/>
        <item x="71"/>
        <item x="63"/>
        <item x="68"/>
        <item x="26"/>
        <item x="70"/>
        <item x="40"/>
        <item x="69"/>
        <item t="default"/>
      </items>
    </pivotField>
  </pivotFields>
  <rowFields count="1">
    <field x="0"/>
  </rowFields>
  <rowItems count="7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 1" fld="1" baseField="0" baseItem="0" numFmtId="2"/>
    <dataField name=" 2" fld="2" baseField="0" baseItem="0"/>
    <dataField name=" 3" fld="3" baseField="0" baseItem="0"/>
    <dataField name=" 4" fld="4" baseField="0" baseItem="0"/>
    <dataField name=" 5" fld="5" baseField="0" baseItem="0"/>
  </dataFields>
  <formats count="31">
    <format dxfId="942">
      <pivotArea type="all" dataOnly="0" outline="0" fieldPosition="0"/>
    </format>
    <format dxfId="941">
      <pivotArea outline="0" collapsedLevelsAreSubtotals="1" fieldPosition="0"/>
    </format>
    <format dxfId="940">
      <pivotArea field="0" type="button" dataOnly="0" labelOnly="1" outline="0" axis="axisRow" fieldPosition="0"/>
    </format>
    <format dxfId="939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938">
      <pivotArea dataOnly="0" labelOnly="1" fieldPosition="0">
        <references count="1">
          <reference field="0" count="26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</reference>
        </references>
      </pivotArea>
    </format>
    <format dxfId="937">
      <pivotArea dataOnly="0" labelOnly="1" grandRow="1" outline="0" fieldPosition="0"/>
    </format>
    <format dxfId="936">
      <pivotArea type="all" dataOnly="0" outline="0" fieldPosition="0"/>
    </format>
    <format dxfId="935">
      <pivotArea outline="0" collapsedLevelsAreSubtotals="1" fieldPosition="0"/>
    </format>
    <format dxfId="934">
      <pivotArea field="0" type="button" dataOnly="0" labelOnly="1" outline="0" axis="axisRow" fieldPosition="0"/>
    </format>
    <format dxfId="933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932">
      <pivotArea dataOnly="0" labelOnly="1" fieldPosition="0">
        <references count="1">
          <reference field="0" count="26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</reference>
        </references>
      </pivotArea>
    </format>
    <format dxfId="931">
      <pivotArea dataOnly="0" labelOnly="1" grandRow="1" outline="0" fieldPosition="0"/>
    </format>
    <format dxfId="930">
      <pivotArea type="all" dataOnly="0" outline="0" fieldPosition="0"/>
    </format>
    <format dxfId="929">
      <pivotArea outline="0" collapsedLevelsAreSubtotals="1" fieldPosition="0"/>
    </format>
    <format dxfId="928">
      <pivotArea field="0" type="button" dataOnly="0" labelOnly="1" outline="0" axis="axisRow" fieldPosition="0"/>
    </format>
    <format dxfId="927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926">
      <pivotArea dataOnly="0" labelOnly="1" fieldPosition="0">
        <references count="1">
          <reference field="0" count="26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</reference>
        </references>
      </pivotArea>
    </format>
    <format dxfId="925">
      <pivotArea dataOnly="0" labelOnly="1" grandRow="1" outline="0" fieldPosition="0"/>
    </format>
    <format dxfId="924">
      <pivotArea outline="0" fieldPosition="0">
        <references count="1">
          <reference field="4294967294" count="1">
            <x v="0"/>
          </reference>
        </references>
      </pivotArea>
    </format>
    <format dxfId="923">
      <pivotArea grandRow="1" outline="0" collapsedLevelsAreSubtotals="1" fieldPosition="0"/>
    </format>
    <format dxfId="922">
      <pivotArea grandRow="1" outline="0" collapsedLevelsAreSubtotals="1" fieldPosition="0"/>
    </format>
    <format dxfId="921">
      <pivotArea dataOnly="0" labelOnly="1" grandRow="1" outline="0" fieldPosition="0"/>
    </format>
    <format dxfId="920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919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918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917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916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915">
      <pivotArea dataOnly="0" labelOnly="1" outline="0" fieldPosition="0">
        <references count="1">
          <reference field="4294967294" count="2">
            <x v="3"/>
            <x v="4"/>
          </reference>
        </references>
      </pivotArea>
    </format>
    <format dxfId="914">
      <pivotArea collapsedLevelsAreSubtotals="1" fieldPosition="0">
        <references count="1">
          <reference field="0" count="0"/>
        </references>
      </pivotArea>
    </format>
    <format dxfId="913">
      <pivotArea grandRow="1" outline="0" collapsedLevelsAreSubtotals="1" fieldPosition="0"/>
    </format>
    <format dxfId="912">
      <pivotArea grandRow="1" outline="0" collapsedLevelsAreSubtotals="1" fieldPosition="0"/>
    </format>
  </formats>
  <pivotTableStyleInfo name="PivotStyleDark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Abastecimento__nº_habitantes" xr10:uid="{E44B7CCF-2EAB-48F0-ACA3-588E5086C55E}" sourceName="Abastecimento (nº habitantes)">
  <pivotTables>
    <pivotTable tabId="3" name="Tabela dinâmica1"/>
  </pivotTables>
  <data>
    <tabular pivotCacheId="1214049553" sortOrder="descending">
      <items count="76">
        <i x="26" s="1"/>
        <i x="0" s="1"/>
        <i x="40" s="1"/>
        <i x="28" s="1"/>
        <i x="46" s="1"/>
        <i x="52" s="1"/>
        <i x="47" s="1"/>
        <i x="33" s="1"/>
        <i x="2" s="1"/>
        <i x="3" s="1"/>
        <i x="11" s="1"/>
        <i x="29" s="1"/>
        <i x="59" s="1"/>
        <i x="32" s="1"/>
        <i x="39" s="1"/>
        <i x="72" s="1"/>
        <i x="50" s="1"/>
        <i x="16" s="1"/>
        <i x="37" s="1"/>
        <i x="34" s="1"/>
        <i x="27" s="1"/>
        <i x="31" s="1"/>
        <i x="9" s="1"/>
        <i x="20" s="1"/>
        <i x="1" s="1"/>
        <i x="35" s="1"/>
        <i x="17" s="1"/>
        <i x="22" s="1"/>
        <i x="54" s="1"/>
        <i x="56" s="1"/>
        <i x="21" s="1"/>
        <i x="38" s="1"/>
        <i x="24" s="1"/>
        <i x="42" s="1"/>
        <i x="7" s="1"/>
        <i x="15" s="1"/>
        <i x="55" s="1"/>
        <i x="4" s="1"/>
        <i x="25" s="1"/>
        <i x="62" s="1"/>
        <i x="51" s="1"/>
        <i x="58" s="1"/>
        <i x="19" s="1"/>
        <i x="5" s="1"/>
        <i x="13" s="1"/>
        <i x="10" s="1"/>
        <i x="41" s="1"/>
        <i x="48" s="1"/>
        <i x="49" s="1"/>
        <i x="53" s="1"/>
        <i x="45" s="1"/>
        <i x="36" s="1"/>
        <i x="61" s="1"/>
        <i x="64" s="1"/>
        <i x="23" s="1"/>
        <i x="73" s="1"/>
        <i x="57" s="1"/>
        <i x="6" s="1"/>
        <i x="8" s="1"/>
        <i x="12" s="1"/>
        <i x="43" s="1"/>
        <i x="67" s="1"/>
        <i x="18" s="1"/>
        <i x="14" s="1"/>
        <i x="44" s="1"/>
        <i x="66" s="1"/>
        <i x="60" s="1"/>
        <i x="30" s="1"/>
        <i x="63" s="1"/>
        <i x="74" s="1"/>
        <i x="71" s="1"/>
        <i x="75" s="1"/>
        <i x="65" s="1"/>
        <i x="68" s="1"/>
        <i x="69" s="1"/>
        <i x="70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onsumo_per_capita__L_d_hab." xr10:uid="{A2EDEB7F-52CB-465E-BB7D-50FA6AE7DB12}" sourceName="Consumo per capita (L/d/hab.)">
  <pivotTables>
    <pivotTable tabId="3" name="Tabela dinâmica1"/>
  </pivotTables>
  <data>
    <tabular pivotCacheId="1214049553" sortOrder="descending">
      <items count="65">
        <i x="62" s="1"/>
        <i x="24" s="1"/>
        <i x="16" s="1"/>
        <i x="42" s="1"/>
        <i x="50" s="1"/>
        <i x="47" s="1"/>
        <i x="4" s="1"/>
        <i x="10" s="1"/>
        <i x="0" s="1"/>
        <i x="1" s="1"/>
        <i x="56" s="1"/>
        <i x="35" s="1"/>
        <i x="39" s="1"/>
        <i x="48" s="1"/>
        <i x="32" s="1"/>
        <i x="25" s="1"/>
        <i x="21" s="1"/>
        <i x="52" s="1"/>
        <i x="55" s="1"/>
        <i x="12" s="1"/>
        <i x="20" s="1"/>
        <i x="2" s="1"/>
        <i x="27" s="1"/>
        <i x="64" s="1"/>
        <i x="58" s="1"/>
        <i x="8" s="1"/>
        <i x="45" s="1"/>
        <i x="19" s="1"/>
        <i x="37" s="1"/>
        <i x="43" s="1"/>
        <i x="40" s="1"/>
        <i x="49" s="1"/>
        <i x="63" s="1"/>
        <i x="60" s="1"/>
        <i x="9" s="1"/>
        <i x="3" s="1"/>
        <i x="23" s="1"/>
        <i x="29" s="1"/>
        <i x="30" s="1"/>
        <i x="57" s="1"/>
        <i x="33" s="1"/>
        <i x="5" s="1"/>
        <i x="59" s="1"/>
        <i x="38" s="1"/>
        <i x="7" s="1"/>
        <i x="36" s="1"/>
        <i x="26" s="1"/>
        <i x="54" s="1"/>
        <i x="44" s="1"/>
        <i x="11" s="1"/>
        <i x="13" s="1"/>
        <i x="53" s="1"/>
        <i x="46" s="1"/>
        <i x="17" s="1"/>
        <i x="6" s="1"/>
        <i x="34" s="1"/>
        <i x="51" s="1"/>
        <i x="61" s="1"/>
        <i x="22" s="1"/>
        <i x="31" s="1"/>
        <i x="28" s="1"/>
        <i x="41" s="1"/>
        <i x="18" s="1"/>
        <i x="15" s="1"/>
        <i x="14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Área_do_Município__Km²" xr10:uid="{0DDE83FE-B33F-462C-9EAB-6BD2FE1D43F0}" sourceName="Área do Município (Km²)">
  <pivotTables>
    <pivotTable tabId="3" name="Tabela dinâmica1"/>
  </pivotTables>
  <data>
    <tabular pivotCacheId="1214049553" sortOrder="descending">
      <items count="76">
        <i x="69" s="1"/>
        <i x="40" s="1"/>
        <i x="70" s="1"/>
        <i x="26" s="1"/>
        <i x="68" s="1"/>
        <i x="63" s="1"/>
        <i x="71" s="1"/>
        <i x="56" s="1"/>
        <i x="28" s="1"/>
        <i x="44" s="1"/>
        <i x="58" s="1"/>
        <i x="11" s="1"/>
        <i x="2" s="1"/>
        <i x="8" s="1"/>
        <i x="29" s="1"/>
        <i x="60" s="1"/>
        <i x="31" s="1"/>
        <i x="0" s="1"/>
        <i x="74" s="1"/>
        <i x="62" s="1"/>
        <i x="41" s="1"/>
        <i x="36" s="1"/>
        <i x="43" s="1"/>
        <i x="9" s="1"/>
        <i x="39" s="1"/>
        <i x="19" s="1"/>
        <i x="75" s="1"/>
        <i x="33" s="1"/>
        <i x="65" s="1"/>
        <i x="12" s="1"/>
        <i x="3" s="1"/>
        <i x="24" s="1"/>
        <i x="73" s="1"/>
        <i x="38" s="1"/>
        <i x="27" s="1"/>
        <i x="21" s="1"/>
        <i x="42" s="1"/>
        <i x="57" s="1"/>
        <i x="5" s="1"/>
        <i x="22" s="1"/>
        <i x="61" s="1"/>
        <i x="1" s="1"/>
        <i x="64" s="1"/>
        <i x="51" s="1"/>
        <i x="30" s="1"/>
        <i x="16" s="1"/>
        <i x="48" s="1"/>
        <i x="4" s="1"/>
        <i x="46" s="1"/>
        <i x="59" s="1"/>
        <i x="13" s="1"/>
        <i x="6" s="1"/>
        <i x="20" s="1"/>
        <i x="72" s="1"/>
        <i x="25" s="1"/>
        <i x="66" s="1"/>
        <i x="52" s="1"/>
        <i x="18" s="1"/>
        <i x="54" s="1"/>
        <i x="23" s="1"/>
        <i x="49" s="1"/>
        <i x="15" s="1"/>
        <i x="45" s="1"/>
        <i x="14" s="1"/>
        <i x="17" s="1"/>
        <i x="55" s="1"/>
        <i x="53" s="1"/>
        <i x="7" s="1"/>
        <i x="50" s="1"/>
        <i x="37" s="1"/>
        <i x="34" s="1"/>
        <i x="10" s="1"/>
        <i x="47" s="1"/>
        <i x="35" s="1"/>
        <i x="32" s="1"/>
        <i x="67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Abastecimento (nº habitantes)" xr10:uid="{CB19C97E-AB73-4289-A268-ADE7B6F91B4F}" cache="SegmentaçãodeDados_Abastecimento__nº_habitantes" caption="Abastecimento (nº habitantes)" rowHeight="234950"/>
  <slicer name="Consumo per capita (L/d/hab.)" xr10:uid="{F875E562-257F-4A85-9CBC-532A1C927610}" cache="SegmentaçãodeDados_Consumo_per_capita__L_d_hab." caption="Consumo per capita (L/d/hab.)" rowHeight="234950"/>
  <slicer name="Área do Município (Km²)" xr10:uid="{5B09242D-D748-4261-97D3-3C6C5AF95780}" cache="SegmentaçãodeDados_Área_do_Município__Km²" caption="Área do Município (Km²)" rowHeight="2349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4437D4-28A1-4C65-82E8-2D93073760AF}" name="Tabela1" displayName="Tabela1" ref="A1:I78" totalsRowCount="1" headerRowDxfId="911" dataDxfId="909" headerRowBorderDxfId="910" tableBorderDxfId="908">
  <autoFilter ref="A1:I77" xr:uid="{092C73AF-EC6D-4964-98D4-D9D1FF2C5E5A}"/>
  <sortState xmlns:xlrd2="http://schemas.microsoft.com/office/spreadsheetml/2017/richdata2" ref="A2:I77">
    <sortCondition descending="1" ref="F1:F77"/>
  </sortState>
  <tableColumns count="9">
    <tableColumn id="1" xr3:uid="{C8466B60-ABCC-4CF5-B55D-E687E4F1FE59}" name="Municipio" totalsRowLabel="Total" dataDxfId="907" totalsRowDxfId="906"/>
    <tableColumn id="2" xr3:uid="{1876FCC6-92EB-4AC3-9704-91A50D017486}" name="1" totalsRowFunction="sum" dataDxfId="905" totalsRowDxfId="904"/>
    <tableColumn id="3" xr3:uid="{EC8F4CB4-E023-4B18-B62B-9EF71A3FE493}" name="2" totalsRowFunction="sum" dataDxfId="903" totalsRowDxfId="902"/>
    <tableColumn id="4" xr3:uid="{5A629709-1130-42FE-932B-3A6BB16C1F02}" name="3" totalsRowFunction="sum" dataDxfId="901" totalsRowDxfId="900"/>
    <tableColumn id="5" xr3:uid="{55FE7760-BE4D-40C4-AAD6-51E2115938E3}" name="4" totalsRowFunction="sum" dataDxfId="899" totalsRowDxfId="898"/>
    <tableColumn id="6" xr3:uid="{D4856A86-D2B5-48FE-BCF2-B0309EB49AFC}" name="5" totalsRowFunction="sum" dataDxfId="897" totalsRowDxfId="896"/>
    <tableColumn id="7" xr3:uid="{50DB5F87-BD8A-4A4B-8D24-63CF5A6A3441}" name="Abastecimento (nº habitantes)" dataDxfId="895" totalsRowDxfId="894"/>
    <tableColumn id="9" xr3:uid="{42CE28DB-7209-4538-90BA-BBD43B69F223}" name="Consumo per capita (L/d/hab.)" dataDxfId="893" totalsRowDxfId="892"/>
    <tableColumn id="8" xr3:uid="{B1D4D558-C75A-460F-9E08-385D77A9FF96}" name="Área do Município (Km²)" dataDxfId="891" totalsRowDxfId="89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7" Type="http://schemas.openxmlformats.org/officeDocument/2006/relationships/comments" Target="../comments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6" Type="http://schemas.microsoft.com/office/2007/relationships/slicer" Target="../slicers/slicer1.xm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8"/>
  <sheetViews>
    <sheetView tabSelected="1" zoomScaleNormal="100" workbookViewId="0">
      <selection activeCell="C1" sqref="C1"/>
    </sheetView>
  </sheetViews>
  <sheetFormatPr defaultColWidth="10.7109375" defaultRowHeight="15"/>
  <cols>
    <col min="1" max="1" width="10.7109375" style="14" bestFit="1" customWidth="1"/>
    <col min="2" max="2" width="82.7109375" style="14" bestFit="1" customWidth="1"/>
    <col min="3" max="3" width="79" style="14" bestFit="1" customWidth="1"/>
    <col min="4" max="4" width="12" style="14" bestFit="1" customWidth="1"/>
    <col min="5" max="5" width="32.7109375" style="14" bestFit="1" customWidth="1"/>
    <col min="6" max="6" width="38.42578125" style="14" bestFit="1" customWidth="1"/>
    <col min="7" max="7" width="24.28515625" style="36" bestFit="1" customWidth="1"/>
    <col min="8" max="8" width="7.28515625" style="36" bestFit="1" customWidth="1"/>
    <col min="9" max="9" width="10.7109375" style="14"/>
    <col min="10" max="10" width="21.7109375" style="14" bestFit="1" customWidth="1"/>
    <col min="11" max="11" width="82.7109375" style="14" bestFit="1" customWidth="1"/>
    <col min="12" max="12" width="79" style="14" bestFit="1" customWidth="1"/>
    <col min="13" max="13" width="32.140625" style="14" bestFit="1" customWidth="1"/>
    <col min="14" max="16384" width="10.7109375" style="14"/>
  </cols>
  <sheetData>
    <row r="1" spans="1:14" ht="15.75" thickBot="1">
      <c r="A1" s="13" t="s">
        <v>0</v>
      </c>
      <c r="B1" s="9" t="s">
        <v>152</v>
      </c>
      <c r="C1" s="9" t="s">
        <v>153</v>
      </c>
      <c r="D1" s="10" t="s">
        <v>1</v>
      </c>
      <c r="E1" s="24" t="s">
        <v>411</v>
      </c>
      <c r="F1" s="195" t="s">
        <v>412</v>
      </c>
      <c r="G1" s="193" t="s">
        <v>410</v>
      </c>
      <c r="H1" s="194"/>
      <c r="J1" s="10" t="s">
        <v>2</v>
      </c>
      <c r="K1" s="9" t="s">
        <v>152</v>
      </c>
      <c r="L1" s="9" t="s">
        <v>153</v>
      </c>
      <c r="M1" s="9" t="s">
        <v>3</v>
      </c>
      <c r="N1" s="35"/>
    </row>
    <row r="2" spans="1:14">
      <c r="A2" s="7" t="s">
        <v>313</v>
      </c>
      <c r="B2" s="11">
        <v>3</v>
      </c>
      <c r="C2" s="185">
        <v>16</v>
      </c>
      <c r="D2" s="12">
        <v>3</v>
      </c>
      <c r="E2" s="136" cm="1">
        <f t="array" aca="1" ref="E2" ca="1">5952075.973363/1000000+E2:EE95</f>
        <v>0</v>
      </c>
      <c r="F2" s="214" t="s">
        <v>156</v>
      </c>
      <c r="G2" s="71"/>
      <c r="H2" s="72"/>
      <c r="J2" s="98" t="s">
        <v>403</v>
      </c>
      <c r="K2" s="181">
        <v>4</v>
      </c>
      <c r="L2" s="183" t="s">
        <v>405</v>
      </c>
      <c r="M2" s="8">
        <v>5</v>
      </c>
      <c r="N2" s="35"/>
    </row>
    <row r="3" spans="1:14" ht="15.75" thickBot="1">
      <c r="A3" s="7" t="s">
        <v>154</v>
      </c>
      <c r="B3" s="11">
        <v>1</v>
      </c>
      <c r="C3" s="185">
        <v>17</v>
      </c>
      <c r="D3" s="12">
        <v>3</v>
      </c>
      <c r="E3" s="135">
        <f>488678.589684/1000000</f>
        <v>0.48867858968400002</v>
      </c>
      <c r="F3" s="212"/>
      <c r="G3" s="37"/>
      <c r="H3" s="38"/>
      <c r="J3" s="180" t="s">
        <v>402</v>
      </c>
      <c r="K3" s="182">
        <v>3</v>
      </c>
      <c r="L3" s="184" t="s">
        <v>406</v>
      </c>
      <c r="M3" s="1">
        <v>4</v>
      </c>
      <c r="N3" s="35"/>
    </row>
    <row r="4" spans="1:14" ht="15.75" thickBot="1">
      <c r="A4" s="16" t="s">
        <v>4</v>
      </c>
      <c r="B4" s="11">
        <v>1</v>
      </c>
      <c r="C4" s="185">
        <v>20</v>
      </c>
      <c r="D4" s="12">
        <v>4</v>
      </c>
      <c r="E4" s="135">
        <f>38934516.638575/1000000</f>
        <v>38.934516638575005</v>
      </c>
      <c r="F4" s="200"/>
      <c r="G4" s="74">
        <v>2</v>
      </c>
      <c r="H4" s="137">
        <f>E5+E7+E9</f>
        <v>276.32704459222703</v>
      </c>
      <c r="J4" s="180" t="s">
        <v>401</v>
      </c>
      <c r="K4" s="182">
        <v>2</v>
      </c>
      <c r="L4" s="184" t="s">
        <v>407</v>
      </c>
      <c r="M4" s="15">
        <v>3</v>
      </c>
      <c r="N4" s="35"/>
    </row>
    <row r="5" spans="1:14">
      <c r="A5" s="3" t="s">
        <v>9</v>
      </c>
      <c r="B5" s="11">
        <v>1</v>
      </c>
      <c r="C5" s="185">
        <v>14</v>
      </c>
      <c r="D5" s="12">
        <v>2</v>
      </c>
      <c r="E5" s="135">
        <f>81837.64771/1000000</f>
        <v>8.1837647710000003E-2</v>
      </c>
      <c r="F5" s="200"/>
      <c r="G5" s="37"/>
      <c r="H5" s="38"/>
      <c r="J5" s="180" t="s">
        <v>400</v>
      </c>
      <c r="K5" s="182">
        <v>1</v>
      </c>
      <c r="L5" s="184" t="s">
        <v>408</v>
      </c>
      <c r="M5" s="2">
        <v>2</v>
      </c>
      <c r="N5" s="35"/>
    </row>
    <row r="6" spans="1:14" ht="15.75" thickBot="1">
      <c r="A6" s="25" t="s">
        <v>314</v>
      </c>
      <c r="B6" s="11">
        <v>1</v>
      </c>
      <c r="C6" s="185">
        <v>19</v>
      </c>
      <c r="D6" s="12">
        <v>3</v>
      </c>
      <c r="E6" s="135">
        <f>240462.618718/1000000</f>
        <v>0.24046261871800001</v>
      </c>
      <c r="F6" s="200"/>
      <c r="G6" s="73"/>
      <c r="H6" s="38"/>
      <c r="J6" s="98" t="s">
        <v>404</v>
      </c>
      <c r="K6" s="182">
        <v>0</v>
      </c>
      <c r="L6" s="184" t="s">
        <v>409</v>
      </c>
      <c r="M6" s="6">
        <v>1</v>
      </c>
      <c r="N6" s="35"/>
    </row>
    <row r="7" spans="1:14" ht="15.75" thickBot="1">
      <c r="A7" s="25" t="s">
        <v>7</v>
      </c>
      <c r="B7" s="11">
        <v>2</v>
      </c>
      <c r="C7" s="185">
        <v>14</v>
      </c>
      <c r="D7" s="12">
        <v>2</v>
      </c>
      <c r="E7" s="135">
        <f>106993441.054542/1000000</f>
        <v>106.993441054542</v>
      </c>
      <c r="F7" s="200"/>
      <c r="G7" s="74">
        <v>3</v>
      </c>
      <c r="H7" s="138">
        <f ca="1">E2+E3+E6</f>
        <v>0</v>
      </c>
      <c r="N7" s="35"/>
    </row>
    <row r="8" spans="1:14">
      <c r="A8" s="3" t="s">
        <v>6</v>
      </c>
      <c r="B8" s="11">
        <v>2</v>
      </c>
      <c r="C8" s="185">
        <v>19</v>
      </c>
      <c r="D8" s="12">
        <v>4</v>
      </c>
      <c r="E8" s="135">
        <f>109236414.905481/1000000</f>
        <v>109.236414905481</v>
      </c>
      <c r="F8" s="200"/>
      <c r="G8" s="37"/>
      <c r="H8" s="38"/>
    </row>
    <row r="9" spans="1:14" ht="15.75" thickBot="1">
      <c r="A9" s="25" t="s">
        <v>315</v>
      </c>
      <c r="B9" s="11">
        <v>2</v>
      </c>
      <c r="C9" s="185">
        <v>13</v>
      </c>
      <c r="D9" s="12">
        <v>2</v>
      </c>
      <c r="E9" s="135">
        <f>169251765.889975/1000000</f>
        <v>169.25176588997502</v>
      </c>
      <c r="F9" s="200"/>
      <c r="G9" s="37"/>
      <c r="H9" s="38"/>
    </row>
    <row r="10" spans="1:14" ht="15.75" thickBot="1">
      <c r="A10" s="25" t="s">
        <v>316</v>
      </c>
      <c r="B10" s="11">
        <v>1</v>
      </c>
      <c r="C10" s="185">
        <v>22</v>
      </c>
      <c r="D10" s="12">
        <v>4</v>
      </c>
      <c r="E10" s="135">
        <f>8088141.487211/1000000</f>
        <v>8.0881414872110007</v>
      </c>
      <c r="F10" s="200"/>
      <c r="G10" s="74">
        <v>4</v>
      </c>
      <c r="H10" s="138">
        <f>E4+E8+E10+E11+E12</f>
        <v>216.004673019335</v>
      </c>
      <c r="J10" s="17"/>
      <c r="K10" s="17"/>
      <c r="L10" s="17"/>
    </row>
    <row r="11" spans="1:14">
      <c r="A11" s="3" t="s">
        <v>5</v>
      </c>
      <c r="B11" s="11">
        <v>2</v>
      </c>
      <c r="C11" s="185">
        <v>19</v>
      </c>
      <c r="D11" s="12">
        <v>4</v>
      </c>
      <c r="E11" s="135">
        <f>20746044.29872/1000000</f>
        <v>20.746044298719998</v>
      </c>
      <c r="F11" s="200"/>
      <c r="G11" s="37"/>
      <c r="H11" s="38"/>
      <c r="J11" s="36"/>
      <c r="K11" s="47"/>
      <c r="L11" s="17"/>
    </row>
    <row r="12" spans="1:14" ht="15.75" thickBot="1">
      <c r="A12" s="23" t="s">
        <v>8</v>
      </c>
      <c r="B12" s="18">
        <v>1</v>
      </c>
      <c r="C12" s="186">
        <v>20</v>
      </c>
      <c r="D12" s="21">
        <v>4</v>
      </c>
      <c r="E12" s="135">
        <f>38999555.689348/1000000</f>
        <v>38.999555689348</v>
      </c>
      <c r="F12" s="200"/>
      <c r="G12" s="39"/>
      <c r="H12" s="40"/>
      <c r="J12" s="36"/>
      <c r="K12" s="47"/>
      <c r="L12" s="17"/>
    </row>
    <row r="13" spans="1:14" ht="15.75" thickTop="1">
      <c r="A13" s="32" t="s">
        <v>317</v>
      </c>
      <c r="B13" s="19">
        <v>2</v>
      </c>
      <c r="C13" s="187">
        <v>15</v>
      </c>
      <c r="D13" s="22">
        <v>2</v>
      </c>
      <c r="E13" s="139">
        <f>29500.870939/1000000</f>
        <v>2.9500870939000001E-2</v>
      </c>
      <c r="F13" s="215" t="s">
        <v>157</v>
      </c>
      <c r="G13" s="41"/>
      <c r="H13" s="42"/>
      <c r="J13" s="36"/>
      <c r="K13" s="47"/>
    </row>
    <row r="14" spans="1:14">
      <c r="A14" s="25" t="s">
        <v>11</v>
      </c>
      <c r="B14" s="11">
        <v>1</v>
      </c>
      <c r="C14" s="185">
        <v>15</v>
      </c>
      <c r="D14" s="12">
        <v>2</v>
      </c>
      <c r="E14" s="140">
        <f>232092.013719/1000000</f>
        <v>0.23209201371900001</v>
      </c>
      <c r="F14" s="197"/>
      <c r="G14" s="43"/>
      <c r="H14" s="44"/>
      <c r="J14" s="36"/>
      <c r="K14" s="47"/>
    </row>
    <row r="15" spans="1:14" ht="15.75" thickBot="1">
      <c r="A15" s="25" t="s">
        <v>120</v>
      </c>
      <c r="B15" s="11">
        <v>1</v>
      </c>
      <c r="C15" s="185">
        <v>20</v>
      </c>
      <c r="D15" s="12">
        <v>4</v>
      </c>
      <c r="E15" s="140">
        <f>34709.771187/1000000</f>
        <v>3.4709771186999999E-2</v>
      </c>
      <c r="F15" s="197"/>
      <c r="G15" s="43"/>
      <c r="H15" s="44"/>
    </row>
    <row r="16" spans="1:14" ht="15.75" thickBot="1">
      <c r="A16" s="33" t="s">
        <v>35</v>
      </c>
      <c r="B16" s="11">
        <v>1</v>
      </c>
      <c r="C16" s="185">
        <v>14</v>
      </c>
      <c r="D16" s="12">
        <v>2</v>
      </c>
      <c r="E16" s="140">
        <f>586359.901403/1000000</f>
        <v>0.58635990140299998</v>
      </c>
      <c r="F16" s="204"/>
      <c r="G16" s="74">
        <v>2</v>
      </c>
      <c r="H16" s="138">
        <f>E13+E14+E16+E19</f>
        <v>97.245486256017003</v>
      </c>
    </row>
    <row r="17" spans="1:11" ht="15.75" thickBot="1">
      <c r="A17" s="33" t="s">
        <v>150</v>
      </c>
      <c r="B17" s="11">
        <v>2</v>
      </c>
      <c r="C17" s="185">
        <v>22</v>
      </c>
      <c r="D17" s="12">
        <v>5</v>
      </c>
      <c r="E17" s="140">
        <f>25784.0964/1000000</f>
        <v>2.5784096399999998E-2</v>
      </c>
      <c r="F17" s="204"/>
      <c r="G17" s="43"/>
      <c r="H17" s="142"/>
      <c r="J17" s="53"/>
      <c r="K17" s="36"/>
    </row>
    <row r="18" spans="1:11" ht="15.75" thickBot="1">
      <c r="A18" s="33" t="s">
        <v>318</v>
      </c>
      <c r="B18" s="11">
        <v>1</v>
      </c>
      <c r="C18" s="185">
        <v>19</v>
      </c>
      <c r="D18" s="12">
        <v>3</v>
      </c>
      <c r="E18" s="140">
        <f>827739.936004/1000000</f>
        <v>0.82773993600399998</v>
      </c>
      <c r="F18" s="204"/>
      <c r="G18" s="74">
        <v>3</v>
      </c>
      <c r="H18" s="138">
        <f>E18+E20+E21+E23</f>
        <v>136.62825275552098</v>
      </c>
      <c r="J18" s="36"/>
      <c r="K18" s="36"/>
    </row>
    <row r="19" spans="1:11" ht="15.75" thickBot="1">
      <c r="A19" s="33" t="s">
        <v>9</v>
      </c>
      <c r="B19" s="11">
        <v>1</v>
      </c>
      <c r="C19" s="185">
        <v>14</v>
      </c>
      <c r="D19" s="12">
        <v>2</v>
      </c>
      <c r="E19" s="140">
        <f>96397533.469956/1000000</f>
        <v>96.397533469956002</v>
      </c>
      <c r="F19" s="204"/>
      <c r="G19" s="43"/>
      <c r="H19" s="142"/>
      <c r="J19" s="36"/>
      <c r="K19" s="36"/>
    </row>
    <row r="20" spans="1:11" ht="15.75" thickBot="1">
      <c r="A20" s="33" t="s">
        <v>314</v>
      </c>
      <c r="B20" s="11">
        <v>1</v>
      </c>
      <c r="C20" s="185">
        <v>19</v>
      </c>
      <c r="D20" s="12">
        <v>3</v>
      </c>
      <c r="E20" s="140">
        <f>74587257.848074/1000000</f>
        <v>74.587257848074003</v>
      </c>
      <c r="F20" s="204"/>
      <c r="G20" s="74">
        <v>4</v>
      </c>
      <c r="H20" s="138">
        <f>E15+E22+E24</f>
        <v>10.340353601554</v>
      </c>
      <c r="J20" s="36"/>
      <c r="K20" s="36"/>
    </row>
    <row r="21" spans="1:11" ht="15.75" thickBot="1">
      <c r="A21" s="33" t="s">
        <v>10</v>
      </c>
      <c r="B21" s="11">
        <v>1</v>
      </c>
      <c r="C21" s="185">
        <v>17</v>
      </c>
      <c r="D21" s="12">
        <v>3</v>
      </c>
      <c r="E21" s="140">
        <f>61204779.438317/1000000</f>
        <v>61.204779438317004</v>
      </c>
      <c r="F21" s="204"/>
      <c r="G21" s="43"/>
      <c r="H21" s="142"/>
      <c r="J21" s="52"/>
      <c r="K21" s="36"/>
    </row>
    <row r="22" spans="1:11" ht="15.75" thickBot="1">
      <c r="A22" s="33" t="s">
        <v>6</v>
      </c>
      <c r="B22" s="11">
        <v>2</v>
      </c>
      <c r="C22" s="185">
        <v>19</v>
      </c>
      <c r="D22" s="12">
        <v>4</v>
      </c>
      <c r="E22" s="140">
        <f>29752.708801/1000000</f>
        <v>2.9752708801000002E-2</v>
      </c>
      <c r="F22" s="204"/>
      <c r="G22" s="74">
        <v>5</v>
      </c>
      <c r="H22" s="138">
        <f>E17</f>
        <v>2.5784096399999998E-2</v>
      </c>
      <c r="J22" s="36"/>
      <c r="K22" s="36"/>
    </row>
    <row r="23" spans="1:11">
      <c r="A23" s="33" t="s">
        <v>100</v>
      </c>
      <c r="B23" s="11">
        <v>1</v>
      </c>
      <c r="C23" s="185">
        <v>19</v>
      </c>
      <c r="D23" s="12">
        <v>3</v>
      </c>
      <c r="E23" s="140">
        <f>8475.533126/1000000</f>
        <v>8.4755331260000007E-3</v>
      </c>
      <c r="F23" s="204"/>
      <c r="G23" s="43"/>
      <c r="H23" s="75"/>
      <c r="J23" s="36"/>
      <c r="K23" s="36"/>
    </row>
    <row r="24" spans="1:11" ht="15.75" thickBot="1">
      <c r="A24" s="34" t="s">
        <v>8</v>
      </c>
      <c r="B24" s="30">
        <v>1</v>
      </c>
      <c r="C24" s="188">
        <v>20</v>
      </c>
      <c r="D24" s="31">
        <v>4</v>
      </c>
      <c r="E24" s="141">
        <f>10275891.121566/1000000</f>
        <v>10.275891121566</v>
      </c>
      <c r="F24" s="198"/>
      <c r="G24" s="45"/>
      <c r="H24" s="46"/>
    </row>
    <row r="25" spans="1:11" ht="16.5" thickTop="1" thickBot="1">
      <c r="A25" s="48" t="s">
        <v>317</v>
      </c>
      <c r="B25" s="27">
        <v>2</v>
      </c>
      <c r="C25" s="189">
        <v>15</v>
      </c>
      <c r="D25" s="28">
        <v>2</v>
      </c>
      <c r="E25" s="146">
        <f>134584.830024/1000000</f>
        <v>0.13458483002399999</v>
      </c>
      <c r="F25" s="216" t="s">
        <v>155</v>
      </c>
      <c r="G25" s="41"/>
      <c r="H25" s="42"/>
    </row>
    <row r="26" spans="1:11" ht="15.75" thickBot="1">
      <c r="A26" s="98" t="s">
        <v>9</v>
      </c>
      <c r="B26" s="27">
        <v>1</v>
      </c>
      <c r="C26" s="189">
        <v>14</v>
      </c>
      <c r="D26" s="28">
        <v>2</v>
      </c>
      <c r="E26" s="147">
        <f>49168512.146054/1000000</f>
        <v>49.168512146053999</v>
      </c>
      <c r="F26" s="212"/>
      <c r="G26" s="74">
        <v>2</v>
      </c>
      <c r="H26" s="138">
        <f>E25+E26+E27</f>
        <v>49.327683003087998</v>
      </c>
    </row>
    <row r="27" spans="1:11" ht="15.75" thickBot="1">
      <c r="A27" s="98" t="s">
        <v>7</v>
      </c>
      <c r="B27" s="27">
        <v>2</v>
      </c>
      <c r="C27" s="189">
        <v>14</v>
      </c>
      <c r="D27" s="28">
        <v>2</v>
      </c>
      <c r="E27" s="147">
        <f>24586.02701/1000000</f>
        <v>2.4586027010000001E-2</v>
      </c>
      <c r="F27" s="212"/>
      <c r="G27" s="43"/>
      <c r="H27" s="142"/>
      <c r="J27" s="51"/>
    </row>
    <row r="28" spans="1:11" ht="15.75" thickBot="1">
      <c r="A28" s="48" t="s">
        <v>6</v>
      </c>
      <c r="B28" s="27">
        <v>2</v>
      </c>
      <c r="C28" s="189">
        <v>19</v>
      </c>
      <c r="D28" s="28">
        <v>4</v>
      </c>
      <c r="E28" s="147">
        <f>127130829.694133/1000000</f>
        <v>127.130829694133</v>
      </c>
      <c r="F28" s="212"/>
      <c r="G28" s="74">
        <v>4</v>
      </c>
      <c r="H28" s="138">
        <f>E28+E29</f>
        <v>127.194633743533</v>
      </c>
      <c r="J28" s="51"/>
    </row>
    <row r="29" spans="1:11" ht="15.75" thickBot="1">
      <c r="A29" s="34" t="s">
        <v>8</v>
      </c>
      <c r="B29" s="30">
        <v>1</v>
      </c>
      <c r="C29" s="188">
        <v>20</v>
      </c>
      <c r="D29" s="31">
        <v>4</v>
      </c>
      <c r="E29" s="148">
        <f>63804.0494/1000000</f>
        <v>6.3804049400000007E-2</v>
      </c>
      <c r="F29" s="198"/>
      <c r="G29" s="45"/>
      <c r="H29" s="168"/>
    </row>
    <row r="30" spans="1:11" ht="16.5" thickTop="1" thickBot="1">
      <c r="A30" s="56" t="s">
        <v>7</v>
      </c>
      <c r="B30" s="27">
        <v>2</v>
      </c>
      <c r="C30" s="189">
        <v>14</v>
      </c>
      <c r="D30" s="28">
        <v>2</v>
      </c>
      <c r="E30" s="149">
        <f>142636.125608/1000000</f>
        <v>0.14263612560800001</v>
      </c>
      <c r="F30" s="226" t="s">
        <v>158</v>
      </c>
      <c r="G30" s="41"/>
      <c r="H30" s="169"/>
    </row>
    <row r="31" spans="1:11" ht="15.75" thickBot="1">
      <c r="A31" s="98" t="s">
        <v>315</v>
      </c>
      <c r="B31" s="27">
        <v>2</v>
      </c>
      <c r="C31" s="189">
        <v>13</v>
      </c>
      <c r="D31" s="87">
        <v>2</v>
      </c>
      <c r="E31" s="147">
        <f>96656.809038/1000000</f>
        <v>9.6656809038000002E-2</v>
      </c>
      <c r="F31" s="227"/>
      <c r="G31" s="74">
        <v>2</v>
      </c>
      <c r="H31" s="138">
        <f>E30+E31</f>
        <v>0.23929293464600002</v>
      </c>
    </row>
    <row r="32" spans="1:11" ht="15.75" thickBot="1">
      <c r="A32" s="98" t="s">
        <v>316</v>
      </c>
      <c r="B32" s="27">
        <v>1</v>
      </c>
      <c r="C32" s="189">
        <v>22</v>
      </c>
      <c r="D32" s="87">
        <v>4</v>
      </c>
      <c r="E32" s="147">
        <f>102743520.279397/1000000</f>
        <v>102.74352027939699</v>
      </c>
      <c r="F32" s="227"/>
      <c r="G32" s="74">
        <v>4</v>
      </c>
      <c r="H32" s="138">
        <f>E32+E33</f>
        <v>102.77091195960099</v>
      </c>
    </row>
    <row r="33" spans="1:10" ht="15.75" thickBot="1">
      <c r="A33" s="57" t="s">
        <v>5</v>
      </c>
      <c r="B33" s="54">
        <v>2</v>
      </c>
      <c r="C33" s="190">
        <v>19</v>
      </c>
      <c r="D33" s="55">
        <v>4</v>
      </c>
      <c r="E33" s="150">
        <f>27391.680204/1000000</f>
        <v>2.7391680203999999E-2</v>
      </c>
      <c r="F33" s="228"/>
      <c r="G33" s="45"/>
      <c r="H33" s="168"/>
    </row>
    <row r="34" spans="1:10" ht="16.5" thickTop="1" thickBot="1">
      <c r="A34" s="5" t="s">
        <v>113</v>
      </c>
      <c r="B34" s="27">
        <v>1</v>
      </c>
      <c r="C34" s="189">
        <v>14</v>
      </c>
      <c r="D34" s="28">
        <v>2</v>
      </c>
      <c r="E34" s="151">
        <f>276118.622761/1000000</f>
        <v>0.27611862276100002</v>
      </c>
      <c r="F34" s="216" t="s">
        <v>159</v>
      </c>
      <c r="G34" s="76"/>
      <c r="H34" s="170"/>
      <c r="J34" s="51"/>
    </row>
    <row r="35" spans="1:10">
      <c r="A35" s="48" t="s">
        <v>317</v>
      </c>
      <c r="B35" s="27">
        <v>2</v>
      </c>
      <c r="C35" s="189">
        <v>15</v>
      </c>
      <c r="D35" s="28">
        <v>2</v>
      </c>
      <c r="E35" s="151">
        <f>128298923.116184/1000000</f>
        <v>128.298923116184</v>
      </c>
      <c r="F35" s="200"/>
      <c r="G35" s="207">
        <v>2</v>
      </c>
      <c r="H35" s="209">
        <f>E34+E35+E36+E37</f>
        <v>136.467439555445</v>
      </c>
    </row>
    <row r="36" spans="1:10" ht="15.75" thickBot="1">
      <c r="A36" s="26" t="s">
        <v>11</v>
      </c>
      <c r="B36" s="27">
        <v>1</v>
      </c>
      <c r="C36" s="189">
        <v>15</v>
      </c>
      <c r="D36" s="28">
        <v>2</v>
      </c>
      <c r="E36" s="151">
        <f>7620571.261918/1000000</f>
        <v>7.6205712619180002</v>
      </c>
      <c r="F36" s="200"/>
      <c r="G36" s="208"/>
      <c r="H36" s="210"/>
    </row>
    <row r="37" spans="1:10" ht="15.75" thickBot="1">
      <c r="A37" s="29" t="s">
        <v>9</v>
      </c>
      <c r="B37" s="30">
        <v>1</v>
      </c>
      <c r="C37" s="188">
        <v>14</v>
      </c>
      <c r="D37" s="31">
        <v>2</v>
      </c>
      <c r="E37" s="150">
        <f>271826.554582/1000000</f>
        <v>0.271826554582</v>
      </c>
      <c r="F37" s="198"/>
      <c r="G37" s="77"/>
      <c r="H37" s="172"/>
    </row>
    <row r="38" spans="1:10" ht="16.5" thickTop="1" thickBot="1">
      <c r="A38" s="62" t="s">
        <v>12</v>
      </c>
      <c r="B38" s="11">
        <v>2</v>
      </c>
      <c r="C38" s="185">
        <v>19</v>
      </c>
      <c r="D38" s="12">
        <v>4</v>
      </c>
      <c r="E38" s="152">
        <f>543893.754755/1000000</f>
        <v>0.54389375475500001</v>
      </c>
      <c r="F38" s="217" t="s">
        <v>160</v>
      </c>
      <c r="G38" s="79">
        <v>2</v>
      </c>
      <c r="H38" s="137">
        <f>E39</f>
        <v>5.0011732687319999</v>
      </c>
      <c r="J38" s="51"/>
    </row>
    <row r="39" spans="1:10" ht="15.75" thickBot="1">
      <c r="A39" s="59" t="s">
        <v>319</v>
      </c>
      <c r="B39" s="54">
        <v>2</v>
      </c>
      <c r="C39" s="190">
        <v>15</v>
      </c>
      <c r="D39" s="55">
        <v>2</v>
      </c>
      <c r="E39" s="153">
        <f>5001173.268732/1000000</f>
        <v>5.0011732687319999</v>
      </c>
      <c r="F39" s="218"/>
      <c r="G39" s="80">
        <v>4</v>
      </c>
      <c r="H39" s="171">
        <f>E38</f>
        <v>0.54389375475500001</v>
      </c>
    </row>
    <row r="40" spans="1:10" ht="15.75" thickTop="1">
      <c r="A40" s="5" t="s">
        <v>16</v>
      </c>
      <c r="B40" s="27">
        <v>1</v>
      </c>
      <c r="C40" s="189">
        <v>14</v>
      </c>
      <c r="D40" s="28">
        <v>2</v>
      </c>
      <c r="E40" s="151">
        <f>43012258.775179/1000000</f>
        <v>43.012258775178999</v>
      </c>
      <c r="F40" s="215" t="s">
        <v>161</v>
      </c>
      <c r="G40" s="76"/>
      <c r="H40" s="170"/>
    </row>
    <row r="41" spans="1:10" ht="15.75" thickBot="1">
      <c r="A41" s="3" t="s">
        <v>13</v>
      </c>
      <c r="B41" s="11">
        <v>1</v>
      </c>
      <c r="C41" s="185">
        <v>18</v>
      </c>
      <c r="D41" s="12">
        <v>3</v>
      </c>
      <c r="E41" s="140">
        <f>2356646.898416/1000000</f>
        <v>2.3566468984159998</v>
      </c>
      <c r="F41" s="197"/>
      <c r="G41" s="81"/>
      <c r="H41" s="173"/>
    </row>
    <row r="42" spans="1:10" ht="15.75" thickBot="1">
      <c r="A42" s="25" t="s">
        <v>320</v>
      </c>
      <c r="B42" s="11">
        <v>1</v>
      </c>
      <c r="C42" s="185">
        <v>22</v>
      </c>
      <c r="D42" s="12">
        <v>4</v>
      </c>
      <c r="E42" s="140">
        <f>14389411.837959/1000000</f>
        <v>14.389411837959001</v>
      </c>
      <c r="F42" s="197"/>
      <c r="G42" s="74">
        <v>2</v>
      </c>
      <c r="H42" s="145">
        <f>E40+E43+E46+E48+E51</f>
        <v>89.093379505732997</v>
      </c>
    </row>
    <row r="43" spans="1:10">
      <c r="A43" s="3" t="s">
        <v>14</v>
      </c>
      <c r="B43" s="11">
        <v>1</v>
      </c>
      <c r="C43" s="185">
        <v>15</v>
      </c>
      <c r="D43" s="12">
        <v>2</v>
      </c>
      <c r="E43" s="140">
        <f>3452688.948654/1000000</f>
        <v>3.452688948654</v>
      </c>
      <c r="F43" s="197"/>
      <c r="G43" s="81"/>
      <c r="H43" s="173"/>
    </row>
    <row r="44" spans="1:10" ht="15.75" thickBot="1">
      <c r="A44" s="25" t="s">
        <v>321</v>
      </c>
      <c r="B44" s="11">
        <v>1</v>
      </c>
      <c r="C44" s="185">
        <v>22</v>
      </c>
      <c r="D44" s="12">
        <v>4</v>
      </c>
      <c r="E44" s="140">
        <f>7507.177393/1000000</f>
        <v>7.507177393E-3</v>
      </c>
      <c r="F44" s="197"/>
      <c r="G44" s="81"/>
      <c r="H44" s="173"/>
      <c r="J44" s="51"/>
    </row>
    <row r="45" spans="1:10" ht="15.75" thickBot="1">
      <c r="A45" s="3" t="s">
        <v>105</v>
      </c>
      <c r="B45" s="11">
        <v>1</v>
      </c>
      <c r="C45" s="185">
        <v>18</v>
      </c>
      <c r="D45" s="12">
        <v>3</v>
      </c>
      <c r="E45" s="140">
        <f>303412.864121/1000000</f>
        <v>0.30341286412099999</v>
      </c>
      <c r="F45" s="197"/>
      <c r="G45" s="74">
        <v>3</v>
      </c>
      <c r="H45" s="145">
        <f>E41+E45+E47+E50</f>
        <v>23.469456199325002</v>
      </c>
    </row>
    <row r="46" spans="1:10">
      <c r="A46" s="3" t="s">
        <v>136</v>
      </c>
      <c r="B46" s="11">
        <v>1</v>
      </c>
      <c r="C46" s="185">
        <v>14</v>
      </c>
      <c r="D46" s="12">
        <v>2</v>
      </c>
      <c r="E46" s="140">
        <f>755688.292643/1000000</f>
        <v>0.75568829264299997</v>
      </c>
      <c r="F46" s="197"/>
      <c r="G46" s="81"/>
      <c r="H46" s="173"/>
    </row>
    <row r="47" spans="1:10" ht="15.75" thickBot="1">
      <c r="A47" s="3" t="s">
        <v>19</v>
      </c>
      <c r="B47" s="11">
        <v>1</v>
      </c>
      <c r="C47" s="185">
        <v>17</v>
      </c>
      <c r="D47" s="12">
        <v>3</v>
      </c>
      <c r="E47" s="140">
        <f>11201129.676569/1000000</f>
        <v>11.201129676569</v>
      </c>
      <c r="F47" s="197"/>
      <c r="G47" s="81"/>
      <c r="H47" s="173"/>
    </row>
    <row r="48" spans="1:10" ht="15.75" thickBot="1">
      <c r="A48" s="3" t="s">
        <v>15</v>
      </c>
      <c r="B48" s="11">
        <v>1</v>
      </c>
      <c r="C48" s="185">
        <v>15</v>
      </c>
      <c r="D48" s="12">
        <v>2</v>
      </c>
      <c r="E48" s="140">
        <f>35769970.937785/1000000</f>
        <v>35.769970937784997</v>
      </c>
      <c r="F48" s="197"/>
      <c r="G48" s="74">
        <v>4</v>
      </c>
      <c r="H48" s="145">
        <f>E42+E44+E49</f>
        <v>21.447265819069003</v>
      </c>
    </row>
    <row r="49" spans="1:10">
      <c r="A49" s="3" t="s">
        <v>18</v>
      </c>
      <c r="B49" s="11">
        <v>3</v>
      </c>
      <c r="C49" s="185">
        <v>19</v>
      </c>
      <c r="D49" s="12">
        <v>4</v>
      </c>
      <c r="E49" s="140">
        <f>7050346.803717/1000000</f>
        <v>7.0503468037170007</v>
      </c>
      <c r="F49" s="197"/>
      <c r="G49" s="81"/>
      <c r="H49" s="173"/>
    </row>
    <row r="50" spans="1:10">
      <c r="A50" s="25" t="s">
        <v>322</v>
      </c>
      <c r="B50" s="11">
        <v>1</v>
      </c>
      <c r="C50" s="185">
        <v>19</v>
      </c>
      <c r="D50" s="12">
        <v>3</v>
      </c>
      <c r="E50" s="140">
        <f>9608266.760219/1000000</f>
        <v>9.6082667602190011</v>
      </c>
      <c r="F50" s="197"/>
      <c r="G50" s="81"/>
      <c r="H50" s="173"/>
    </row>
    <row r="51" spans="1:10" ht="15.75" thickBot="1">
      <c r="A51" s="29" t="s">
        <v>17</v>
      </c>
      <c r="B51" s="30">
        <v>1</v>
      </c>
      <c r="C51" s="188">
        <v>15</v>
      </c>
      <c r="D51" s="31">
        <v>2</v>
      </c>
      <c r="E51" s="154">
        <f>6102772.551472/1000000</f>
        <v>6.1027725514719995</v>
      </c>
      <c r="F51" s="198"/>
      <c r="G51" s="77"/>
      <c r="H51" s="172"/>
    </row>
    <row r="52" spans="1:10" ht="16.5" thickTop="1" thickBot="1">
      <c r="A52" s="32" t="s">
        <v>323</v>
      </c>
      <c r="B52" s="27">
        <v>1</v>
      </c>
      <c r="C52" s="189">
        <v>19</v>
      </c>
      <c r="D52" s="28">
        <v>3</v>
      </c>
      <c r="E52" s="151">
        <f>21935825.05928/1000000</f>
        <v>21.935825059279999</v>
      </c>
      <c r="F52" s="216" t="s">
        <v>162</v>
      </c>
      <c r="G52" s="76"/>
      <c r="H52" s="170"/>
    </row>
    <row r="53" spans="1:10" ht="15.75" thickBot="1">
      <c r="A53" s="25" t="s">
        <v>324</v>
      </c>
      <c r="B53" s="11">
        <v>1</v>
      </c>
      <c r="C53" s="185">
        <v>13</v>
      </c>
      <c r="D53" s="12">
        <v>1</v>
      </c>
      <c r="E53" s="140">
        <f>2970739.10902/1000000</f>
        <v>2.9707391090199997</v>
      </c>
      <c r="F53" s="197"/>
      <c r="G53" s="74">
        <v>1</v>
      </c>
      <c r="H53" s="145">
        <f>E53+E54+E59</f>
        <v>91.681340113537004</v>
      </c>
    </row>
    <row r="54" spans="1:10">
      <c r="A54" s="25" t="s">
        <v>325</v>
      </c>
      <c r="B54" s="11">
        <v>1</v>
      </c>
      <c r="C54" s="185">
        <v>12</v>
      </c>
      <c r="D54" s="12">
        <v>1</v>
      </c>
      <c r="E54" s="140">
        <f>72181591.362617/1000000</f>
        <v>72.181591362616999</v>
      </c>
      <c r="F54" s="197"/>
      <c r="G54" s="81"/>
      <c r="H54" s="173"/>
    </row>
    <row r="55" spans="1:10" ht="15.75" thickBot="1">
      <c r="A55" s="3" t="s">
        <v>24</v>
      </c>
      <c r="B55" s="11">
        <v>1</v>
      </c>
      <c r="C55" s="185">
        <v>15</v>
      </c>
      <c r="D55" s="12">
        <v>2</v>
      </c>
      <c r="E55" s="140">
        <f>27430767.418782/1000000</f>
        <v>27.430767418782001</v>
      </c>
      <c r="F55" s="197"/>
      <c r="G55" s="81"/>
      <c r="H55" s="173"/>
    </row>
    <row r="56" spans="1:10" ht="15.75" thickBot="1">
      <c r="A56" s="3" t="s">
        <v>21</v>
      </c>
      <c r="B56" s="11">
        <v>1</v>
      </c>
      <c r="C56" s="185">
        <v>15</v>
      </c>
      <c r="D56" s="12">
        <v>2</v>
      </c>
      <c r="E56" s="140">
        <f>59529504.603139/1000000</f>
        <v>59.529504603138996</v>
      </c>
      <c r="F56" s="197"/>
      <c r="G56" s="74">
        <v>2</v>
      </c>
      <c r="H56" s="145">
        <f>E55+E56</f>
        <v>86.960272021921</v>
      </c>
    </row>
    <row r="57" spans="1:10">
      <c r="A57" s="25" t="s">
        <v>22</v>
      </c>
      <c r="B57" s="11">
        <v>4</v>
      </c>
      <c r="C57" s="185">
        <v>16</v>
      </c>
      <c r="D57" s="12">
        <v>3</v>
      </c>
      <c r="E57" s="140">
        <f>56946822.135235/1000000</f>
        <v>56.946822135234996</v>
      </c>
      <c r="F57" s="197"/>
      <c r="G57" s="81"/>
      <c r="H57" s="173"/>
    </row>
    <row r="58" spans="1:10" ht="15.75" thickBot="1">
      <c r="A58" s="3" t="s">
        <v>23</v>
      </c>
      <c r="B58" s="11">
        <v>2</v>
      </c>
      <c r="C58" s="185">
        <v>17</v>
      </c>
      <c r="D58" s="12">
        <v>3</v>
      </c>
      <c r="E58" s="140">
        <f>67497664.5743/1000000</f>
        <v>67.497664574300003</v>
      </c>
      <c r="F58" s="197"/>
      <c r="G58" s="81"/>
      <c r="H58" s="173"/>
      <c r="J58" s="51"/>
    </row>
    <row r="59" spans="1:10" ht="15.75" thickBot="1">
      <c r="A59" s="25" t="s">
        <v>326</v>
      </c>
      <c r="B59" s="11">
        <v>1</v>
      </c>
      <c r="C59" s="185">
        <v>10</v>
      </c>
      <c r="D59" s="12">
        <v>1</v>
      </c>
      <c r="E59" s="140">
        <f>16529009.6419/1000000</f>
        <v>16.5290096419</v>
      </c>
      <c r="F59" s="197"/>
      <c r="G59" s="74">
        <v>3</v>
      </c>
      <c r="H59" s="145">
        <f>E52+E57+E58+E62+E66</f>
        <v>147.15289200485097</v>
      </c>
    </row>
    <row r="60" spans="1:10">
      <c r="A60" s="3" t="s">
        <v>47</v>
      </c>
      <c r="B60" s="11">
        <v>2</v>
      </c>
      <c r="C60" s="185">
        <v>23</v>
      </c>
      <c r="D60" s="12">
        <v>5</v>
      </c>
      <c r="E60" s="140">
        <f>917877.597022/1000000</f>
        <v>0.917877597022</v>
      </c>
      <c r="F60" s="197"/>
      <c r="G60" s="81"/>
      <c r="H60" s="173"/>
    </row>
    <row r="61" spans="1:10" ht="15.75" thickBot="1">
      <c r="A61" s="25" t="s">
        <v>327</v>
      </c>
      <c r="B61" s="11">
        <v>1</v>
      </c>
      <c r="C61" s="185">
        <v>22</v>
      </c>
      <c r="D61" s="12">
        <v>4</v>
      </c>
      <c r="E61" s="140">
        <f>23560406.119319/1000000</f>
        <v>23.560406119318998</v>
      </c>
      <c r="F61" s="197"/>
      <c r="G61" s="81"/>
      <c r="H61" s="173"/>
    </row>
    <row r="62" spans="1:10" ht="15.75" thickBot="1">
      <c r="A62" s="3" t="s">
        <v>116</v>
      </c>
      <c r="B62" s="11">
        <v>1</v>
      </c>
      <c r="C62" s="185">
        <v>17</v>
      </c>
      <c r="D62" s="12">
        <v>3</v>
      </c>
      <c r="E62" s="140">
        <f>523631.341823/1000000</f>
        <v>0.52363134182299997</v>
      </c>
      <c r="F62" s="197"/>
      <c r="G62" s="74">
        <v>4</v>
      </c>
      <c r="H62" s="145">
        <f>E61+E63+E64+E65</f>
        <v>63.638436588952004</v>
      </c>
    </row>
    <row r="63" spans="1:10">
      <c r="A63" s="3" t="s">
        <v>117</v>
      </c>
      <c r="B63" s="11">
        <v>2</v>
      </c>
      <c r="C63" s="185">
        <v>20</v>
      </c>
      <c r="D63" s="12">
        <v>4</v>
      </c>
      <c r="E63" s="140">
        <f>11532.785977/1000000</f>
        <v>1.1532785977E-2</v>
      </c>
      <c r="F63" s="197"/>
      <c r="G63" s="81"/>
      <c r="H63" s="173"/>
    </row>
    <row r="64" spans="1:10" ht="15.75" thickBot="1">
      <c r="A64" s="3" t="s">
        <v>20</v>
      </c>
      <c r="B64" s="11">
        <v>1</v>
      </c>
      <c r="C64" s="185">
        <v>20</v>
      </c>
      <c r="D64" s="12">
        <v>4</v>
      </c>
      <c r="E64" s="140">
        <f>6986366.422642/1000000</f>
        <v>6.9863664226419999</v>
      </c>
      <c r="F64" s="197"/>
      <c r="G64" s="81"/>
      <c r="H64" s="173"/>
    </row>
    <row r="65" spans="1:10" ht="15.75" thickBot="1">
      <c r="A65" s="25" t="s">
        <v>328</v>
      </c>
      <c r="B65" s="11">
        <v>1</v>
      </c>
      <c r="C65" s="185">
        <v>22</v>
      </c>
      <c r="D65" s="12">
        <v>4</v>
      </c>
      <c r="E65" s="140">
        <f>33080131.261014/1000000</f>
        <v>33.080131261014003</v>
      </c>
      <c r="F65" s="197"/>
      <c r="G65" s="74">
        <v>5</v>
      </c>
      <c r="H65" s="145">
        <f>E60</f>
        <v>0.917877597022</v>
      </c>
    </row>
    <row r="66" spans="1:10" ht="15.75" thickBot="1">
      <c r="A66" s="29" t="s">
        <v>56</v>
      </c>
      <c r="B66" s="30">
        <v>1</v>
      </c>
      <c r="C66" s="188">
        <v>17</v>
      </c>
      <c r="D66" s="31">
        <v>3</v>
      </c>
      <c r="E66" s="154">
        <f>248948.894213/1000000</f>
        <v>0.24894889421299998</v>
      </c>
      <c r="F66" s="198"/>
      <c r="G66" s="77"/>
      <c r="H66" s="172"/>
    </row>
    <row r="67" spans="1:10" ht="16.5" thickTop="1" thickBot="1">
      <c r="A67" s="63" t="s">
        <v>329</v>
      </c>
      <c r="B67" s="20">
        <v>1</v>
      </c>
      <c r="C67" s="187">
        <v>11</v>
      </c>
      <c r="D67" s="64">
        <v>1</v>
      </c>
      <c r="E67" s="155">
        <f>66876129.370742/1000000</f>
        <v>66.876129370742007</v>
      </c>
      <c r="F67" s="211" t="s">
        <v>163</v>
      </c>
      <c r="G67" s="76"/>
      <c r="H67" s="170"/>
    </row>
    <row r="68" spans="1:10" ht="15.75" thickBot="1">
      <c r="A68" s="7" t="s">
        <v>26</v>
      </c>
      <c r="B68" s="27">
        <v>2</v>
      </c>
      <c r="C68" s="189">
        <v>16</v>
      </c>
      <c r="D68" s="28">
        <v>3</v>
      </c>
      <c r="E68" s="147">
        <f>110742708.763688/1000000</f>
        <v>110.742708763688</v>
      </c>
      <c r="F68" s="212"/>
      <c r="G68" s="74">
        <v>1</v>
      </c>
      <c r="H68" s="137">
        <f>E67</f>
        <v>66.876129370742007</v>
      </c>
      <c r="J68" s="51"/>
    </row>
    <row r="69" spans="1:10" ht="15.75" thickBot="1">
      <c r="A69" s="7" t="s">
        <v>330</v>
      </c>
      <c r="B69" s="27">
        <v>1</v>
      </c>
      <c r="C69" s="189">
        <v>19</v>
      </c>
      <c r="D69" s="28">
        <v>3</v>
      </c>
      <c r="E69" s="147">
        <f>506273.270954/1000000</f>
        <v>0.50627327095399999</v>
      </c>
      <c r="F69" s="212"/>
      <c r="G69" s="74">
        <v>3</v>
      </c>
      <c r="H69" s="137">
        <f>E68+E69+E70</f>
        <v>111.253364641715</v>
      </c>
    </row>
    <row r="70" spans="1:10" ht="15.75" thickBot="1">
      <c r="A70" s="65" t="s">
        <v>71</v>
      </c>
      <c r="B70" s="54">
        <v>1</v>
      </c>
      <c r="C70" s="190">
        <v>17</v>
      </c>
      <c r="D70" s="55">
        <v>3</v>
      </c>
      <c r="E70" s="150">
        <f>4382.607073/1000000</f>
        <v>4.3826070730000003E-3</v>
      </c>
      <c r="F70" s="213"/>
      <c r="G70" s="77"/>
      <c r="H70" s="172"/>
    </row>
    <row r="71" spans="1:10" ht="16.5" thickTop="1" thickBot="1">
      <c r="A71" s="66" t="s">
        <v>25</v>
      </c>
      <c r="B71" s="60">
        <v>0</v>
      </c>
      <c r="C71" s="191">
        <v>15</v>
      </c>
      <c r="D71" s="61">
        <v>2</v>
      </c>
      <c r="E71" s="156">
        <f>77580905.518798/1000000</f>
        <v>77.580905518797991</v>
      </c>
      <c r="F71" s="67" t="s">
        <v>164</v>
      </c>
      <c r="G71" s="74">
        <v>2</v>
      </c>
      <c r="H71" s="137">
        <f>E71</f>
        <v>77.580905518797991</v>
      </c>
      <c r="J71" s="51"/>
    </row>
    <row r="72" spans="1:10" ht="16.5" thickTop="1" thickBot="1">
      <c r="A72" s="4" t="s">
        <v>28</v>
      </c>
      <c r="B72" s="11">
        <v>1</v>
      </c>
      <c r="C72" s="185">
        <v>17</v>
      </c>
      <c r="D72" s="12">
        <v>3</v>
      </c>
      <c r="E72" s="157">
        <f>4078814.902367/1000000</f>
        <v>4.0788149023670002</v>
      </c>
      <c r="F72" s="219" t="s">
        <v>165</v>
      </c>
      <c r="G72" s="76"/>
      <c r="H72" s="170"/>
    </row>
    <row r="73" spans="1:10" ht="15.75" thickBot="1">
      <c r="A73" s="3" t="s">
        <v>30</v>
      </c>
      <c r="B73" s="11">
        <v>3</v>
      </c>
      <c r="C73" s="185">
        <v>24</v>
      </c>
      <c r="D73" s="12">
        <v>5</v>
      </c>
      <c r="E73" s="140">
        <f>97287851.85076/1000000</f>
        <v>97.287851850759992</v>
      </c>
      <c r="F73" s="197"/>
      <c r="G73" s="74">
        <v>2</v>
      </c>
      <c r="H73" s="137">
        <f>E75</f>
        <v>24.161999679901001</v>
      </c>
      <c r="J73" s="50"/>
    </row>
    <row r="74" spans="1:10" ht="15.75" thickBot="1">
      <c r="A74" s="3" t="s">
        <v>27</v>
      </c>
      <c r="B74" s="11">
        <v>2</v>
      </c>
      <c r="C74" s="185">
        <v>24</v>
      </c>
      <c r="D74" s="12">
        <v>5</v>
      </c>
      <c r="E74" s="140">
        <f>52526733.461839/1000000</f>
        <v>52.526733461839001</v>
      </c>
      <c r="F74" s="197"/>
      <c r="G74" s="74">
        <v>3</v>
      </c>
      <c r="H74" s="137">
        <f>E72</f>
        <v>4.0788149023670002</v>
      </c>
    </row>
    <row r="75" spans="1:10" ht="15.75" thickBot="1">
      <c r="A75" s="29" t="s">
        <v>29</v>
      </c>
      <c r="B75" s="30">
        <v>1</v>
      </c>
      <c r="C75" s="188">
        <v>15</v>
      </c>
      <c r="D75" s="31">
        <v>2</v>
      </c>
      <c r="E75" s="154">
        <f>24161999.679901/1000000</f>
        <v>24.161999679901001</v>
      </c>
      <c r="F75" s="198"/>
      <c r="G75" s="74">
        <v>5</v>
      </c>
      <c r="H75" s="137">
        <f>E73+E74</f>
        <v>149.81458531259898</v>
      </c>
    </row>
    <row r="76" spans="1:10" ht="15.75" thickTop="1">
      <c r="A76" s="32" t="s">
        <v>331</v>
      </c>
      <c r="B76" s="27">
        <v>1</v>
      </c>
      <c r="C76" s="189">
        <v>19</v>
      </c>
      <c r="D76" s="28">
        <v>3</v>
      </c>
      <c r="E76" s="151">
        <f>76618536.314283/1000000</f>
        <v>76.618536314282991</v>
      </c>
      <c r="F76" s="216" t="s">
        <v>166</v>
      </c>
      <c r="G76" s="76"/>
      <c r="H76" s="170"/>
    </row>
    <row r="77" spans="1:10">
      <c r="A77" s="25" t="s">
        <v>333</v>
      </c>
      <c r="B77" s="11">
        <v>1</v>
      </c>
      <c r="C77" s="185">
        <v>16</v>
      </c>
      <c r="D77" s="12">
        <v>2</v>
      </c>
      <c r="E77" s="140">
        <f>15238364.573528/1000000</f>
        <v>15.238364573527999</v>
      </c>
      <c r="F77" s="197"/>
      <c r="G77" s="81"/>
      <c r="H77" s="173"/>
    </row>
    <row r="78" spans="1:10" ht="15.75" thickBot="1">
      <c r="A78" s="25" t="s">
        <v>332</v>
      </c>
      <c r="B78" s="11">
        <v>1</v>
      </c>
      <c r="C78" s="185">
        <v>19</v>
      </c>
      <c r="D78" s="12">
        <v>3</v>
      </c>
      <c r="E78" s="140">
        <f>7027820.175649/1000000</f>
        <v>7.0278201756490004</v>
      </c>
      <c r="F78" s="197"/>
      <c r="G78" s="81"/>
      <c r="H78" s="173"/>
    </row>
    <row r="79" spans="1:10" ht="15.75" thickBot="1">
      <c r="A79" s="25" t="s">
        <v>334</v>
      </c>
      <c r="B79" s="11">
        <v>3</v>
      </c>
      <c r="C79" s="185">
        <v>15</v>
      </c>
      <c r="D79" s="12">
        <v>3</v>
      </c>
      <c r="E79" s="140">
        <f>593129.21567/1000000</f>
        <v>0.59312921566999999</v>
      </c>
      <c r="F79" s="197"/>
      <c r="G79" s="74">
        <v>1</v>
      </c>
      <c r="H79" s="137">
        <f>E83+E85</f>
        <v>74.994891225903999</v>
      </c>
    </row>
    <row r="80" spans="1:10" ht="15.75" thickBot="1">
      <c r="A80" s="3" t="s">
        <v>31</v>
      </c>
      <c r="B80" s="11">
        <v>1</v>
      </c>
      <c r="C80" s="185">
        <v>15</v>
      </c>
      <c r="D80" s="12">
        <v>2</v>
      </c>
      <c r="E80" s="140">
        <f>10429778.198865/1000000</f>
        <v>10.429778198865</v>
      </c>
      <c r="F80" s="197"/>
      <c r="G80" s="81"/>
      <c r="H80" s="173"/>
    </row>
    <row r="81" spans="1:10" ht="15.75" thickBot="1">
      <c r="A81" s="25" t="s">
        <v>335</v>
      </c>
      <c r="B81" s="11">
        <v>1</v>
      </c>
      <c r="C81" s="185">
        <v>16</v>
      </c>
      <c r="D81" s="12">
        <v>2</v>
      </c>
      <c r="E81" s="140">
        <f>74066672.136823/1000000</f>
        <v>74.066672136823001</v>
      </c>
      <c r="F81" s="197"/>
      <c r="G81" s="74">
        <v>2</v>
      </c>
      <c r="H81" s="137">
        <f>E77+E80+E81</f>
        <v>99.734814909215999</v>
      </c>
      <c r="I81" s="51"/>
    </row>
    <row r="82" spans="1:10" ht="15.75" thickBot="1">
      <c r="A82" s="25" t="s">
        <v>336</v>
      </c>
      <c r="B82" s="11">
        <v>3</v>
      </c>
      <c r="C82" s="185">
        <v>18</v>
      </c>
      <c r="D82" s="12">
        <v>4</v>
      </c>
      <c r="E82" s="140">
        <f>161688042.929071/1000000</f>
        <v>161.688042929071</v>
      </c>
      <c r="F82" s="197"/>
      <c r="G82" s="81"/>
      <c r="H82" s="173"/>
    </row>
    <row r="83" spans="1:10" ht="15.75" thickBot="1">
      <c r="A83" s="25" t="s">
        <v>337</v>
      </c>
      <c r="B83" s="11">
        <v>1</v>
      </c>
      <c r="C83" s="185">
        <v>12</v>
      </c>
      <c r="D83" s="12">
        <v>1</v>
      </c>
      <c r="E83" s="140">
        <f>28272934.562653/1000000</f>
        <v>28.272934562653003</v>
      </c>
      <c r="F83" s="197"/>
      <c r="G83" s="74">
        <v>3</v>
      </c>
      <c r="H83" s="137">
        <f>E76+E78+E79+E86+E87</f>
        <v>139.52819088680999</v>
      </c>
    </row>
    <row r="84" spans="1:10" ht="15.75" thickBot="1">
      <c r="A84" s="3" t="s">
        <v>33</v>
      </c>
      <c r="B84" s="11">
        <v>2</v>
      </c>
      <c r="C84" s="185">
        <v>19</v>
      </c>
      <c r="D84" s="12">
        <v>4</v>
      </c>
      <c r="E84" s="140">
        <f>4811.661418/1000000</f>
        <v>4.8116614179999993E-3</v>
      </c>
      <c r="F84" s="197"/>
      <c r="G84" s="81"/>
      <c r="H84" s="173"/>
    </row>
    <row r="85" spans="1:10" ht="15.75" thickBot="1">
      <c r="A85" s="25" t="s">
        <v>338</v>
      </c>
      <c r="B85" s="11">
        <v>1</v>
      </c>
      <c r="C85" s="185">
        <v>13</v>
      </c>
      <c r="D85" s="12">
        <v>1</v>
      </c>
      <c r="E85" s="140">
        <f>46721956.663251/1000000</f>
        <v>46.721956663250999</v>
      </c>
      <c r="F85" s="197"/>
      <c r="G85" s="74">
        <v>4</v>
      </c>
      <c r="H85" s="137">
        <f>E82+E84+E89</f>
        <v>161.94936763977501</v>
      </c>
    </row>
    <row r="86" spans="1:10" ht="15.75" thickBot="1">
      <c r="A86" s="3" t="s">
        <v>97</v>
      </c>
      <c r="B86" s="11">
        <v>1</v>
      </c>
      <c r="C86" s="185">
        <v>17</v>
      </c>
      <c r="D86" s="12">
        <v>3</v>
      </c>
      <c r="E86" s="140">
        <f>170190.064194/1000000</f>
        <v>0.17019006419400001</v>
      </c>
      <c r="F86" s="197"/>
      <c r="G86" s="81"/>
      <c r="H86" s="173"/>
    </row>
    <row r="87" spans="1:10" ht="15.75" thickBot="1">
      <c r="A87" s="3" t="s">
        <v>32</v>
      </c>
      <c r="B87" s="11">
        <v>1</v>
      </c>
      <c r="C87" s="185">
        <v>17</v>
      </c>
      <c r="D87" s="12">
        <v>3</v>
      </c>
      <c r="E87" s="140">
        <f>55118515.117014/1000000</f>
        <v>55.118515117013999</v>
      </c>
      <c r="F87" s="197"/>
      <c r="G87" s="74">
        <v>5</v>
      </c>
      <c r="H87" s="137">
        <f>E88</f>
        <v>1.194197214181</v>
      </c>
    </row>
    <row r="88" spans="1:10">
      <c r="A88" s="3" t="s">
        <v>108</v>
      </c>
      <c r="B88" s="11">
        <v>2</v>
      </c>
      <c r="C88" s="185">
        <v>22</v>
      </c>
      <c r="D88" s="12">
        <v>5</v>
      </c>
      <c r="E88" s="140">
        <f>1194197.214181/1000000</f>
        <v>1.194197214181</v>
      </c>
      <c r="F88" s="197"/>
      <c r="G88" s="81"/>
      <c r="H88" s="173"/>
    </row>
    <row r="89" spans="1:10" ht="15.75" thickBot="1">
      <c r="A89" s="34" t="s">
        <v>339</v>
      </c>
      <c r="B89" s="30">
        <v>1</v>
      </c>
      <c r="C89" s="188">
        <v>22</v>
      </c>
      <c r="D89" s="31">
        <v>4</v>
      </c>
      <c r="E89" s="154">
        <f>256513.049286/1000000</f>
        <v>0.25651304928599999</v>
      </c>
      <c r="F89" s="198"/>
      <c r="G89" s="77"/>
      <c r="H89" s="172"/>
    </row>
    <row r="90" spans="1:10" ht="16.5" thickTop="1" thickBot="1">
      <c r="A90" s="32" t="s">
        <v>335</v>
      </c>
      <c r="B90" s="27">
        <v>1</v>
      </c>
      <c r="C90" s="189">
        <v>16</v>
      </c>
      <c r="D90" s="28">
        <v>2</v>
      </c>
      <c r="E90" s="158">
        <f>14272841.212896/1000000</f>
        <v>14.272841212896001</v>
      </c>
      <c r="F90" s="220" t="s">
        <v>167</v>
      </c>
      <c r="G90" s="74">
        <v>1</v>
      </c>
      <c r="H90" s="137">
        <f>E92</f>
        <v>9.5860898199999999E-4</v>
      </c>
    </row>
    <row r="91" spans="1:10" ht="15.75" thickBot="1">
      <c r="A91" s="25" t="s">
        <v>336</v>
      </c>
      <c r="B91" s="11">
        <v>3</v>
      </c>
      <c r="C91" s="185">
        <v>18</v>
      </c>
      <c r="D91" s="12">
        <v>4</v>
      </c>
      <c r="E91" s="159">
        <f>12304317.669311/1000000</f>
        <v>12.304317669311001</v>
      </c>
      <c r="F91" s="221"/>
      <c r="G91" s="74">
        <v>2</v>
      </c>
      <c r="H91" s="173">
        <f>E90</f>
        <v>14.272841212896001</v>
      </c>
    </row>
    <row r="92" spans="1:10" ht="15.75" thickBot="1">
      <c r="A92" s="25" t="s">
        <v>337</v>
      </c>
      <c r="B92" s="11">
        <v>1</v>
      </c>
      <c r="C92" s="185">
        <v>12</v>
      </c>
      <c r="D92" s="12">
        <v>1</v>
      </c>
      <c r="E92" s="159">
        <f>958.608982/1000000</f>
        <v>9.5860898199999999E-4</v>
      </c>
      <c r="F92" s="221"/>
      <c r="G92" s="74">
        <v>3</v>
      </c>
      <c r="H92" s="137">
        <f>E94</f>
        <v>16.780104311079</v>
      </c>
    </row>
    <row r="93" spans="1:10" ht="15.75" thickBot="1">
      <c r="A93" s="3" t="s">
        <v>33</v>
      </c>
      <c r="B93" s="11">
        <v>2</v>
      </c>
      <c r="C93" s="185">
        <v>19</v>
      </c>
      <c r="D93" s="12">
        <v>4</v>
      </c>
      <c r="E93" s="159">
        <f>64447505.645491/1000000</f>
        <v>64.447505645490992</v>
      </c>
      <c r="F93" s="221"/>
      <c r="G93" s="74">
        <v>4</v>
      </c>
      <c r="H93" s="137">
        <f>E91+E93</f>
        <v>76.751823314801996</v>
      </c>
      <c r="I93" s="51"/>
    </row>
    <row r="94" spans="1:10" ht="15.75" thickBot="1">
      <c r="A94" s="34" t="s">
        <v>340</v>
      </c>
      <c r="B94" s="30">
        <v>3</v>
      </c>
      <c r="C94" s="188">
        <v>15</v>
      </c>
      <c r="D94" s="31">
        <v>3</v>
      </c>
      <c r="E94" s="160">
        <f>16780104.311079/1000000</f>
        <v>16.780104311079</v>
      </c>
      <c r="F94" s="222"/>
      <c r="G94" s="77"/>
      <c r="H94" s="172"/>
    </row>
    <row r="95" spans="1:10" ht="16.5" thickTop="1" thickBot="1">
      <c r="A95" s="68" t="s">
        <v>25</v>
      </c>
      <c r="B95" s="54">
        <v>0</v>
      </c>
      <c r="C95" s="190">
        <v>15</v>
      </c>
      <c r="D95" s="55">
        <v>2</v>
      </c>
      <c r="E95" s="150">
        <f>71340287.081014/1000000</f>
        <v>71.340287081014012</v>
      </c>
      <c r="F95" s="69" t="s">
        <v>168</v>
      </c>
      <c r="G95" s="74">
        <v>2</v>
      </c>
      <c r="H95" s="137">
        <f>E95</f>
        <v>71.340287081014012</v>
      </c>
      <c r="J95" s="51"/>
    </row>
    <row r="96" spans="1:10" ht="15.75" thickTop="1">
      <c r="A96" s="32" t="s">
        <v>331</v>
      </c>
      <c r="B96" s="27">
        <v>1</v>
      </c>
      <c r="C96" s="189">
        <v>19</v>
      </c>
      <c r="D96" s="28">
        <v>3</v>
      </c>
      <c r="E96" s="151">
        <f>43145553.634043/1000000</f>
        <v>43.145553634042997</v>
      </c>
      <c r="F96" s="216" t="s">
        <v>169</v>
      </c>
      <c r="G96" s="76"/>
      <c r="H96" s="170"/>
    </row>
    <row r="97" spans="1:10">
      <c r="A97" s="3" t="s">
        <v>91</v>
      </c>
      <c r="B97" s="11">
        <v>1</v>
      </c>
      <c r="C97" s="185">
        <v>18</v>
      </c>
      <c r="D97" s="12">
        <v>3</v>
      </c>
      <c r="E97" s="140">
        <f>38256.868133/1000000</f>
        <v>3.8256868133000006E-2</v>
      </c>
      <c r="F97" s="197"/>
      <c r="G97" s="81"/>
      <c r="H97" s="173"/>
    </row>
    <row r="98" spans="1:10" ht="15.75" thickBot="1">
      <c r="A98" s="25" t="s">
        <v>341</v>
      </c>
      <c r="B98" s="11">
        <v>1</v>
      </c>
      <c r="C98" s="185">
        <v>13</v>
      </c>
      <c r="D98" s="12">
        <v>1</v>
      </c>
      <c r="E98" s="140">
        <f>33527494.06016/1000000</f>
        <v>33.527494060160002</v>
      </c>
      <c r="F98" s="197"/>
      <c r="G98" s="81"/>
      <c r="H98" s="173"/>
    </row>
    <row r="99" spans="1:10" ht="15.75" thickBot="1">
      <c r="A99" s="25" t="s">
        <v>332</v>
      </c>
      <c r="B99" s="11">
        <v>1</v>
      </c>
      <c r="C99" s="185">
        <v>19</v>
      </c>
      <c r="D99" s="12">
        <v>3</v>
      </c>
      <c r="E99" s="140">
        <f>49018351.829833/1000000</f>
        <v>49.018351829833001</v>
      </c>
      <c r="F99" s="197"/>
      <c r="G99" s="74">
        <v>1</v>
      </c>
      <c r="H99" s="137">
        <f>E98+E101+E105</f>
        <v>73.493136321413999</v>
      </c>
    </row>
    <row r="100" spans="1:10">
      <c r="A100" s="25" t="s">
        <v>335</v>
      </c>
      <c r="B100" s="11">
        <v>1</v>
      </c>
      <c r="C100" s="185">
        <v>16</v>
      </c>
      <c r="D100" s="12">
        <v>2</v>
      </c>
      <c r="E100" s="140">
        <f>36003390.10322/1000000</f>
        <v>36.003390103219999</v>
      </c>
      <c r="F100" s="197"/>
      <c r="G100" s="81"/>
      <c r="H100" s="173"/>
    </row>
    <row r="101" spans="1:10" ht="15.75" thickBot="1">
      <c r="A101" s="25" t="s">
        <v>337</v>
      </c>
      <c r="B101" s="11">
        <v>1</v>
      </c>
      <c r="C101" s="185">
        <v>12</v>
      </c>
      <c r="D101" s="12">
        <v>1</v>
      </c>
      <c r="E101" s="140">
        <f>435804.681982/1000000</f>
        <v>0.43580468198200001</v>
      </c>
      <c r="F101" s="197"/>
      <c r="G101" s="81"/>
      <c r="H101" s="173"/>
    </row>
    <row r="102" spans="1:10" ht="15.75" thickBot="1">
      <c r="A102" s="3" t="s">
        <v>42</v>
      </c>
      <c r="B102" s="11">
        <v>1</v>
      </c>
      <c r="C102" s="185">
        <v>20</v>
      </c>
      <c r="D102" s="12">
        <v>4</v>
      </c>
      <c r="E102" s="140">
        <f>57759864.070121/1000000</f>
        <v>57.759864070120997</v>
      </c>
      <c r="F102" s="197"/>
      <c r="G102" s="74">
        <v>2</v>
      </c>
      <c r="H102" s="137">
        <f>E100+E104+E109</f>
        <v>76.913665700134999</v>
      </c>
    </row>
    <row r="103" spans="1:10">
      <c r="A103" s="3" t="s">
        <v>36</v>
      </c>
      <c r="B103" s="11">
        <v>1</v>
      </c>
      <c r="C103" s="185">
        <v>23</v>
      </c>
      <c r="D103" s="12">
        <v>5</v>
      </c>
      <c r="E103" s="140">
        <f>12904803.374205/1000000</f>
        <v>12.904803374205001</v>
      </c>
      <c r="F103" s="197"/>
      <c r="G103" s="81"/>
      <c r="H103" s="173"/>
      <c r="J103" s="51"/>
    </row>
    <row r="104" spans="1:10" ht="15.75" thickBot="1">
      <c r="A104" s="3" t="s">
        <v>38</v>
      </c>
      <c r="B104" s="11">
        <v>1</v>
      </c>
      <c r="C104" s="185">
        <v>14</v>
      </c>
      <c r="D104" s="12">
        <v>2</v>
      </c>
      <c r="E104" s="140">
        <f>24747595.107191/1000000</f>
        <v>24.747595107191</v>
      </c>
      <c r="F104" s="197"/>
      <c r="G104" s="81"/>
      <c r="H104" s="173"/>
    </row>
    <row r="105" spans="1:10" ht="15.75" thickBot="1">
      <c r="A105" s="25" t="s">
        <v>342</v>
      </c>
      <c r="B105" s="11">
        <v>1</v>
      </c>
      <c r="C105" s="185">
        <v>11</v>
      </c>
      <c r="D105" s="12">
        <v>1</v>
      </c>
      <c r="E105" s="140">
        <f>39529837.579272/1000000</f>
        <v>39.529837579272005</v>
      </c>
      <c r="F105" s="197"/>
      <c r="G105" s="74">
        <v>3</v>
      </c>
      <c r="H105" s="137">
        <f>E96+E97+E99+E111+E112+E113</f>
        <v>172.82281830517599</v>
      </c>
    </row>
    <row r="106" spans="1:10">
      <c r="A106" s="3" t="s">
        <v>39</v>
      </c>
      <c r="B106" s="11">
        <v>1</v>
      </c>
      <c r="C106" s="185">
        <v>20</v>
      </c>
      <c r="D106" s="12">
        <v>4</v>
      </c>
      <c r="E106" s="140">
        <f>3781485.126282/1000000</f>
        <v>3.781485126282</v>
      </c>
      <c r="F106" s="197"/>
      <c r="G106" s="81"/>
      <c r="H106" s="173"/>
    </row>
    <row r="107" spans="1:10" ht="15.75" thickBot="1">
      <c r="A107" s="3" t="s">
        <v>34</v>
      </c>
      <c r="B107" s="11">
        <v>1</v>
      </c>
      <c r="C107" s="185">
        <v>20</v>
      </c>
      <c r="D107" s="12">
        <v>4</v>
      </c>
      <c r="E107" s="140">
        <f>82391174.980731/1000000</f>
        <v>82.391174980730995</v>
      </c>
      <c r="F107" s="197"/>
      <c r="G107" s="81"/>
      <c r="H107" s="173"/>
    </row>
    <row r="108" spans="1:10" ht="15.75" thickBot="1">
      <c r="A108" s="3" t="s">
        <v>40</v>
      </c>
      <c r="B108" s="11">
        <v>1</v>
      </c>
      <c r="C108" s="185">
        <v>23</v>
      </c>
      <c r="D108" s="12">
        <v>5</v>
      </c>
      <c r="E108" s="140">
        <f>31826293.135369/1000000</f>
        <v>31.826293135368999</v>
      </c>
      <c r="F108" s="197"/>
      <c r="G108" s="74">
        <v>4</v>
      </c>
      <c r="H108" s="137">
        <f>E102+E106+E107</f>
        <v>143.93252417713398</v>
      </c>
    </row>
    <row r="109" spans="1:10">
      <c r="A109" s="3" t="s">
        <v>35</v>
      </c>
      <c r="B109" s="11">
        <v>1</v>
      </c>
      <c r="C109" s="185">
        <v>14</v>
      </c>
      <c r="D109" s="12">
        <v>2</v>
      </c>
      <c r="E109" s="140">
        <f>16162680.489724/1000000</f>
        <v>16.162680489724</v>
      </c>
      <c r="F109" s="197"/>
      <c r="G109" s="81"/>
      <c r="H109" s="173"/>
    </row>
    <row r="110" spans="1:10" ht="15.75" thickBot="1">
      <c r="A110" s="3" t="s">
        <v>150</v>
      </c>
      <c r="B110" s="11">
        <v>2</v>
      </c>
      <c r="C110" s="185">
        <v>22</v>
      </c>
      <c r="D110" s="12">
        <v>5</v>
      </c>
      <c r="E110" s="140">
        <f>646483.122483/1000000</f>
        <v>0.64648312248299999</v>
      </c>
      <c r="F110" s="197"/>
      <c r="G110" s="81"/>
      <c r="H110" s="173"/>
    </row>
    <row r="111" spans="1:10" ht="15.75" thickBot="1">
      <c r="A111" s="3" t="s">
        <v>116</v>
      </c>
      <c r="B111" s="11">
        <v>1</v>
      </c>
      <c r="C111" s="185">
        <v>17</v>
      </c>
      <c r="D111" s="12">
        <v>3</v>
      </c>
      <c r="E111" s="140">
        <f>7626.930638/1000000</f>
        <v>7.6269306379999997E-3</v>
      </c>
      <c r="F111" s="197"/>
      <c r="G111" s="74">
        <v>5</v>
      </c>
      <c r="H111" s="137">
        <f>E103+E108+E110</f>
        <v>45.377579632057</v>
      </c>
    </row>
    <row r="112" spans="1:10">
      <c r="A112" s="3" t="s">
        <v>37</v>
      </c>
      <c r="B112" s="11">
        <v>1</v>
      </c>
      <c r="C112" s="185">
        <v>18</v>
      </c>
      <c r="D112" s="12">
        <v>3</v>
      </c>
      <c r="E112" s="140">
        <f>43921164.953539/1000000</f>
        <v>43.921164953538998</v>
      </c>
      <c r="F112" s="197"/>
      <c r="G112" s="81"/>
      <c r="H112" s="173"/>
    </row>
    <row r="113" spans="1:10" ht="15.75" thickBot="1">
      <c r="A113" s="29" t="s">
        <v>41</v>
      </c>
      <c r="B113" s="30">
        <v>1</v>
      </c>
      <c r="C113" s="188">
        <v>18</v>
      </c>
      <c r="D113" s="31">
        <v>3</v>
      </c>
      <c r="E113" s="154">
        <f>36691864.08899/1000000</f>
        <v>36.691864088990002</v>
      </c>
      <c r="F113" s="204"/>
      <c r="G113" s="81"/>
      <c r="H113" s="173"/>
      <c r="J113" s="51"/>
    </row>
    <row r="114" spans="1:10" ht="16.5" thickTop="1" thickBot="1">
      <c r="A114" s="66" t="s">
        <v>25</v>
      </c>
      <c r="B114" s="60">
        <v>0</v>
      </c>
      <c r="C114" s="191">
        <v>15</v>
      </c>
      <c r="D114" s="61">
        <v>2</v>
      </c>
      <c r="E114" s="161">
        <f>867393.68026/1000000</f>
        <v>0.86739368026000008</v>
      </c>
      <c r="F114" s="70" t="s">
        <v>399</v>
      </c>
      <c r="G114" s="82">
        <v>2</v>
      </c>
      <c r="H114" s="174">
        <f>E114</f>
        <v>0.86739368026000008</v>
      </c>
    </row>
    <row r="115" spans="1:10" ht="16.5" thickTop="1" thickBot="1">
      <c r="A115" s="83" t="s">
        <v>343</v>
      </c>
      <c r="B115" s="27">
        <v>1</v>
      </c>
      <c r="C115" s="189">
        <v>16</v>
      </c>
      <c r="D115" s="28">
        <v>2</v>
      </c>
      <c r="E115" s="162">
        <f>54943505.84008/1000000</f>
        <v>54.94350584008</v>
      </c>
      <c r="F115" s="223" t="s">
        <v>170</v>
      </c>
      <c r="G115" s="76"/>
      <c r="H115" s="170"/>
    </row>
    <row r="116" spans="1:10" ht="15.75" thickBot="1">
      <c r="A116" s="5" t="s">
        <v>83</v>
      </c>
      <c r="B116" s="27">
        <v>2</v>
      </c>
      <c r="C116" s="189">
        <v>19</v>
      </c>
      <c r="D116" s="28">
        <v>4</v>
      </c>
      <c r="E116" s="163">
        <f>1518108.302387/1000000</f>
        <v>1.5181083023870001</v>
      </c>
      <c r="F116" s="224"/>
      <c r="G116" s="82">
        <v>1</v>
      </c>
      <c r="H116" s="137">
        <f>E118</f>
        <v>8.4477041999999993E-5</v>
      </c>
    </row>
    <row r="117" spans="1:10" ht="15.75" thickBot="1">
      <c r="A117" s="32" t="s">
        <v>344</v>
      </c>
      <c r="B117" s="27">
        <v>1</v>
      </c>
      <c r="C117" s="189">
        <v>21</v>
      </c>
      <c r="D117" s="28">
        <v>4</v>
      </c>
      <c r="E117" s="163">
        <f>10157.73995/1000000</f>
        <v>1.015773995E-2</v>
      </c>
      <c r="F117" s="224"/>
      <c r="G117" s="82">
        <v>2</v>
      </c>
      <c r="H117" s="137">
        <f>E115</f>
        <v>54.94350584008</v>
      </c>
    </row>
    <row r="118" spans="1:10" ht="15.75" thickBot="1">
      <c r="A118" s="32" t="s">
        <v>345</v>
      </c>
      <c r="B118" s="27">
        <v>1</v>
      </c>
      <c r="C118" s="189">
        <v>13</v>
      </c>
      <c r="D118" s="28">
        <v>1</v>
      </c>
      <c r="E118" s="163">
        <f>84.477042/1000000</f>
        <v>8.4477041999999993E-5</v>
      </c>
      <c r="F118" s="224"/>
      <c r="G118" s="82">
        <v>3</v>
      </c>
      <c r="H118" s="137">
        <f>E120+E121</f>
        <v>50.136432350526995</v>
      </c>
      <c r="J118" s="51"/>
    </row>
    <row r="119" spans="1:10" ht="15.75" thickBot="1">
      <c r="A119" s="5" t="s">
        <v>45</v>
      </c>
      <c r="B119" s="27">
        <v>2</v>
      </c>
      <c r="C119" s="189">
        <v>23</v>
      </c>
      <c r="D119" s="28">
        <v>5</v>
      </c>
      <c r="E119" s="163">
        <f>10020540.75281/1000000</f>
        <v>10.02054075281</v>
      </c>
      <c r="F119" s="224"/>
      <c r="G119" s="82">
        <v>4</v>
      </c>
      <c r="H119" s="137">
        <f>E116+E117</f>
        <v>1.528266042337</v>
      </c>
    </row>
    <row r="120" spans="1:10" ht="15.75" thickBot="1">
      <c r="A120" s="3" t="s">
        <v>43</v>
      </c>
      <c r="B120" s="11">
        <v>2</v>
      </c>
      <c r="C120" s="185">
        <v>18</v>
      </c>
      <c r="D120" s="12">
        <v>3</v>
      </c>
      <c r="E120" s="164">
        <f>15383077.515359/1000000</f>
        <v>15.383077515359</v>
      </c>
      <c r="F120" s="224"/>
      <c r="G120" s="82">
        <v>5</v>
      </c>
      <c r="H120" s="171">
        <f>E119</f>
        <v>10.02054075281</v>
      </c>
    </row>
    <row r="121" spans="1:10" ht="15.75" thickBot="1">
      <c r="A121" s="29" t="s">
        <v>44</v>
      </c>
      <c r="B121" s="30">
        <v>2</v>
      </c>
      <c r="C121" s="188">
        <v>17</v>
      </c>
      <c r="D121" s="31">
        <v>3</v>
      </c>
      <c r="E121" s="165">
        <f>34753354.835168/1000000</f>
        <v>34.753354835167997</v>
      </c>
      <c r="F121" s="225"/>
      <c r="G121" s="77"/>
      <c r="H121" s="172"/>
    </row>
    <row r="122" spans="1:10" ht="15.75" thickTop="1">
      <c r="A122" s="5" t="s">
        <v>46</v>
      </c>
      <c r="B122" s="27">
        <v>1</v>
      </c>
      <c r="C122" s="189">
        <v>15</v>
      </c>
      <c r="D122" s="28">
        <v>2</v>
      </c>
      <c r="E122" s="151">
        <f>40875773.951523/1000000</f>
        <v>40.875773951523001</v>
      </c>
      <c r="F122" s="196" t="s">
        <v>171</v>
      </c>
      <c r="G122" s="76"/>
      <c r="H122" s="170"/>
    </row>
    <row r="123" spans="1:10">
      <c r="A123" s="25" t="s">
        <v>346</v>
      </c>
      <c r="B123" s="11">
        <v>1</v>
      </c>
      <c r="C123" s="185">
        <v>16</v>
      </c>
      <c r="D123" s="12">
        <v>2</v>
      </c>
      <c r="E123" s="140">
        <f>64963481.477579/1000000</f>
        <v>64.963481477578995</v>
      </c>
      <c r="F123" s="197"/>
      <c r="G123" s="81"/>
      <c r="H123" s="173"/>
    </row>
    <row r="124" spans="1:10">
      <c r="A124" s="25" t="s">
        <v>347</v>
      </c>
      <c r="B124" s="11">
        <v>1</v>
      </c>
      <c r="C124" s="185">
        <v>16</v>
      </c>
      <c r="D124" s="12">
        <v>2</v>
      </c>
      <c r="E124" s="140">
        <f>54681768.634869/1000000</f>
        <v>54.681768634869002</v>
      </c>
      <c r="F124" s="197"/>
      <c r="G124" s="81"/>
      <c r="H124" s="173"/>
    </row>
    <row r="125" spans="1:10">
      <c r="A125" s="25" t="s">
        <v>348</v>
      </c>
      <c r="B125" s="11">
        <v>2</v>
      </c>
      <c r="C125" s="185">
        <v>13</v>
      </c>
      <c r="D125" s="12">
        <v>2</v>
      </c>
      <c r="E125" s="140">
        <f>11802577.306738/1000000</f>
        <v>11.802577306738</v>
      </c>
      <c r="F125" s="197"/>
      <c r="G125" s="81"/>
      <c r="H125" s="173"/>
    </row>
    <row r="126" spans="1:10">
      <c r="A126" s="3" t="s">
        <v>51</v>
      </c>
      <c r="B126" s="11">
        <v>2</v>
      </c>
      <c r="C126" s="185">
        <v>17</v>
      </c>
      <c r="D126" s="12">
        <v>3</v>
      </c>
      <c r="E126" s="140">
        <f>50522428.347794/1000000</f>
        <v>50.522428347793998</v>
      </c>
      <c r="F126" s="197"/>
      <c r="G126" s="81"/>
      <c r="H126" s="173"/>
    </row>
    <row r="127" spans="1:10">
      <c r="A127" s="3" t="s">
        <v>57</v>
      </c>
      <c r="B127" s="11">
        <v>1</v>
      </c>
      <c r="C127" s="185">
        <v>15</v>
      </c>
      <c r="D127" s="12">
        <v>2</v>
      </c>
      <c r="E127" s="140">
        <f>76929199.374365/1000000</f>
        <v>76.929199374364998</v>
      </c>
      <c r="F127" s="197"/>
      <c r="G127" s="81"/>
      <c r="H127" s="173"/>
    </row>
    <row r="128" spans="1:10">
      <c r="A128" s="25" t="s">
        <v>349</v>
      </c>
      <c r="B128" s="11">
        <v>1</v>
      </c>
      <c r="C128" s="185">
        <v>12</v>
      </c>
      <c r="D128" s="12">
        <v>1</v>
      </c>
      <c r="E128" s="140">
        <f>2324387.342457/1000000</f>
        <v>2.3243873424570003</v>
      </c>
      <c r="F128" s="197"/>
      <c r="G128" s="81"/>
      <c r="H128" s="173"/>
    </row>
    <row r="129" spans="1:8" ht="15.75" thickBot="1">
      <c r="A129" s="25" t="s">
        <v>350</v>
      </c>
      <c r="B129" s="11">
        <v>1</v>
      </c>
      <c r="C129" s="185">
        <v>16</v>
      </c>
      <c r="D129" s="12">
        <v>2</v>
      </c>
      <c r="E129" s="140">
        <f>28604017.231409/1000000</f>
        <v>28.604017231408999</v>
      </c>
      <c r="F129" s="197"/>
      <c r="G129" s="81"/>
      <c r="H129" s="173"/>
    </row>
    <row r="130" spans="1:8" ht="15.75" thickBot="1">
      <c r="A130" s="25" t="s">
        <v>351</v>
      </c>
      <c r="B130" s="11">
        <v>1</v>
      </c>
      <c r="C130" s="185">
        <v>22</v>
      </c>
      <c r="D130" s="12">
        <v>4</v>
      </c>
      <c r="E130" s="140">
        <f>18020056.182085/1000000</f>
        <v>18.020056182085</v>
      </c>
      <c r="F130" s="197"/>
      <c r="G130" s="82">
        <v>1</v>
      </c>
      <c r="H130" s="145">
        <f>E128+E133+E135+E143</f>
        <v>40.139066846744996</v>
      </c>
    </row>
    <row r="131" spans="1:8">
      <c r="A131" s="3" t="s">
        <v>147</v>
      </c>
      <c r="B131" s="11">
        <v>2</v>
      </c>
      <c r="C131" s="185">
        <v>20</v>
      </c>
      <c r="D131" s="12">
        <v>4</v>
      </c>
      <c r="E131" s="140">
        <f>99599.212608/1000000</f>
        <v>9.9599212608000004E-2</v>
      </c>
      <c r="F131" s="197"/>
      <c r="G131" s="81"/>
      <c r="H131" s="173"/>
    </row>
    <row r="132" spans="1:8">
      <c r="A132" s="3" t="s">
        <v>52</v>
      </c>
      <c r="B132" s="11">
        <v>2</v>
      </c>
      <c r="C132" s="185">
        <v>19</v>
      </c>
      <c r="D132" s="12">
        <v>4</v>
      </c>
      <c r="E132" s="140">
        <f>10466260.628232/1000000</f>
        <v>10.466260628232</v>
      </c>
      <c r="F132" s="197"/>
      <c r="G132" s="81"/>
      <c r="H132" s="173"/>
    </row>
    <row r="133" spans="1:8" ht="15.75" thickBot="1">
      <c r="A133" s="25" t="s">
        <v>352</v>
      </c>
      <c r="B133" s="11">
        <v>1</v>
      </c>
      <c r="C133" s="185">
        <v>11</v>
      </c>
      <c r="D133" s="12">
        <v>1</v>
      </c>
      <c r="E133" s="140">
        <f>3250.83504/1000000</f>
        <v>3.2508350399999999E-3</v>
      </c>
      <c r="F133" s="197"/>
      <c r="G133" s="81"/>
      <c r="H133" s="173"/>
    </row>
    <row r="134" spans="1:8" ht="15.75" thickBot="1">
      <c r="A134" s="3" t="s">
        <v>58</v>
      </c>
      <c r="B134" s="11">
        <v>1</v>
      </c>
      <c r="C134" s="185">
        <v>14</v>
      </c>
      <c r="D134" s="12">
        <v>2</v>
      </c>
      <c r="E134" s="140">
        <f>43529985.951933/1000000</f>
        <v>43.529985951933</v>
      </c>
      <c r="F134" s="197"/>
      <c r="G134" s="82">
        <v>2</v>
      </c>
      <c r="H134" s="145">
        <f>E122+E123+E124+E125+E127+E129+E134+E137+E138+E140+E142+E144+E145+E155</f>
        <v>462.64535503413794</v>
      </c>
    </row>
    <row r="135" spans="1:8">
      <c r="A135" s="25" t="s">
        <v>353</v>
      </c>
      <c r="B135" s="11">
        <v>1</v>
      </c>
      <c r="C135" s="185">
        <v>9</v>
      </c>
      <c r="D135" s="12">
        <v>1</v>
      </c>
      <c r="E135" s="140">
        <f>5347641.87925/1000000</f>
        <v>5.3476418792500002</v>
      </c>
      <c r="F135" s="197"/>
      <c r="G135" s="81"/>
      <c r="H135" s="173"/>
    </row>
    <row r="136" spans="1:8">
      <c r="A136" s="25" t="s">
        <v>354</v>
      </c>
      <c r="B136" s="11">
        <v>0</v>
      </c>
      <c r="C136" s="185">
        <v>19</v>
      </c>
      <c r="D136" s="12">
        <v>3</v>
      </c>
      <c r="E136" s="140">
        <f>43534043.504257/1000000</f>
        <v>43.534043504256999</v>
      </c>
      <c r="F136" s="197"/>
      <c r="G136" s="81"/>
      <c r="H136" s="173"/>
    </row>
    <row r="137" spans="1:8" ht="15.75" thickBot="1">
      <c r="A137" s="25" t="s">
        <v>355</v>
      </c>
      <c r="B137" s="11">
        <v>0</v>
      </c>
      <c r="C137" s="185">
        <v>17</v>
      </c>
      <c r="D137" s="12">
        <v>2</v>
      </c>
      <c r="E137" s="140">
        <f>39717028.711205/1000000</f>
        <v>39.717028711204996</v>
      </c>
      <c r="F137" s="197"/>
      <c r="G137" s="81"/>
      <c r="H137" s="173"/>
    </row>
    <row r="138" spans="1:8" ht="15.75" thickBot="1">
      <c r="A138" s="3" t="s">
        <v>53</v>
      </c>
      <c r="B138" s="11">
        <v>0</v>
      </c>
      <c r="C138" s="185">
        <v>15</v>
      </c>
      <c r="D138" s="12">
        <v>2</v>
      </c>
      <c r="E138" s="140">
        <f>32111761.165259/1000000</f>
        <v>32.111761165258997</v>
      </c>
      <c r="F138" s="197"/>
      <c r="G138" s="82">
        <v>3</v>
      </c>
      <c r="H138" s="175">
        <f>E126+E136+E139+E141+E148+E152+E154</f>
        <v>172.200832132654</v>
      </c>
    </row>
    <row r="139" spans="1:8">
      <c r="A139" s="3" t="s">
        <v>50</v>
      </c>
      <c r="B139" s="11">
        <v>1</v>
      </c>
      <c r="C139" s="185">
        <v>17</v>
      </c>
      <c r="D139" s="12">
        <v>3</v>
      </c>
      <c r="E139" s="140">
        <f>55994735.595721/1000000</f>
        <v>55.994735595720996</v>
      </c>
      <c r="F139" s="197"/>
      <c r="G139" s="81"/>
      <c r="H139" s="173"/>
    </row>
    <row r="140" spans="1:8">
      <c r="A140" s="3" t="s">
        <v>115</v>
      </c>
      <c r="B140" s="11">
        <v>0</v>
      </c>
      <c r="C140" s="185">
        <v>15</v>
      </c>
      <c r="D140" s="12">
        <v>2</v>
      </c>
      <c r="E140" s="140">
        <f>37068.630527/1000000</f>
        <v>3.7068630527000004E-2</v>
      </c>
      <c r="F140" s="197"/>
      <c r="G140" s="81"/>
      <c r="H140" s="173"/>
    </row>
    <row r="141" spans="1:8" ht="15.75" thickBot="1">
      <c r="A141" s="3" t="s">
        <v>54</v>
      </c>
      <c r="B141" s="11">
        <v>1</v>
      </c>
      <c r="C141" s="185">
        <v>18</v>
      </c>
      <c r="D141" s="12">
        <v>3</v>
      </c>
      <c r="E141" s="140">
        <f>1622676.5354/1000000</f>
        <v>1.6226765353999999</v>
      </c>
      <c r="F141" s="197"/>
      <c r="G141" s="81"/>
      <c r="H141" s="173"/>
    </row>
    <row r="142" spans="1:8" ht="15.75" thickBot="1">
      <c r="A142" s="25" t="s">
        <v>356</v>
      </c>
      <c r="B142" s="11">
        <v>0</v>
      </c>
      <c r="C142" s="185">
        <v>16</v>
      </c>
      <c r="D142" s="12">
        <v>2</v>
      </c>
      <c r="E142" s="140">
        <f>21539689.35442/1000000</f>
        <v>21.539689354419998</v>
      </c>
      <c r="F142" s="197"/>
      <c r="G142" s="82">
        <v>4</v>
      </c>
      <c r="H142" s="145">
        <f>E130+E131+E132+E147+E149+E150+E151+E153</f>
        <v>116.72234992303299</v>
      </c>
    </row>
    <row r="143" spans="1:8">
      <c r="A143" s="25" t="s">
        <v>357</v>
      </c>
      <c r="B143" s="11">
        <v>0</v>
      </c>
      <c r="C143" s="185">
        <v>14</v>
      </c>
      <c r="D143" s="12">
        <v>1</v>
      </c>
      <c r="E143" s="140">
        <f>32463786.789998/1000000</f>
        <v>32.463786789997997</v>
      </c>
      <c r="F143" s="197"/>
      <c r="G143" s="81"/>
      <c r="H143" s="173"/>
    </row>
    <row r="144" spans="1:8">
      <c r="A144" s="3" t="s">
        <v>55</v>
      </c>
      <c r="B144" s="11">
        <v>1</v>
      </c>
      <c r="C144" s="185">
        <v>15</v>
      </c>
      <c r="D144" s="12">
        <v>2</v>
      </c>
      <c r="E144" s="140">
        <f>2200048.720525/1000000</f>
        <v>2.2000487205249999</v>
      </c>
      <c r="F144" s="197"/>
      <c r="G144" s="81"/>
      <c r="H144" s="173"/>
    </row>
    <row r="145" spans="1:10" ht="15.75" thickBot="1">
      <c r="A145" s="3" t="s">
        <v>59</v>
      </c>
      <c r="B145" s="11">
        <v>0</v>
      </c>
      <c r="C145" s="185">
        <v>15</v>
      </c>
      <c r="D145" s="12">
        <v>2</v>
      </c>
      <c r="E145" s="140">
        <f>45485202.845759/1000000</f>
        <v>45.485202845758998</v>
      </c>
      <c r="F145" s="197"/>
      <c r="G145" s="81"/>
      <c r="H145" s="173"/>
    </row>
    <row r="146" spans="1:10" ht="15.75" thickBot="1">
      <c r="A146" s="3" t="s">
        <v>47</v>
      </c>
      <c r="B146" s="11">
        <v>2</v>
      </c>
      <c r="C146" s="185">
        <v>23</v>
      </c>
      <c r="D146" s="12">
        <v>5</v>
      </c>
      <c r="E146" s="140">
        <f>2967710.455626/1000000</f>
        <v>2.9677104556260003</v>
      </c>
      <c r="F146" s="197"/>
      <c r="G146" s="82">
        <v>5</v>
      </c>
      <c r="H146" s="145">
        <f>E146</f>
        <v>2.9677104556260003</v>
      </c>
    </row>
    <row r="147" spans="1:10">
      <c r="A147" s="25" t="s">
        <v>358</v>
      </c>
      <c r="B147" s="11">
        <v>1</v>
      </c>
      <c r="C147" s="185">
        <v>22</v>
      </c>
      <c r="D147" s="12">
        <v>4</v>
      </c>
      <c r="E147" s="140">
        <f>3290.671328/1000000</f>
        <v>3.2906713279999998E-3</v>
      </c>
      <c r="F147" s="197"/>
      <c r="G147" s="81"/>
      <c r="H147" s="173"/>
    </row>
    <row r="148" spans="1:10">
      <c r="A148" s="3" t="s">
        <v>48</v>
      </c>
      <c r="B148" s="11">
        <v>1</v>
      </c>
      <c r="C148" s="185">
        <v>17</v>
      </c>
      <c r="D148" s="12">
        <v>3</v>
      </c>
      <c r="E148" s="140">
        <f>12040548.167517/1000000</f>
        <v>12.040548167517001</v>
      </c>
      <c r="F148" s="197"/>
      <c r="G148" s="81"/>
      <c r="H148" s="173"/>
    </row>
    <row r="149" spans="1:10">
      <c r="A149" s="3" t="s">
        <v>117</v>
      </c>
      <c r="B149" s="11">
        <v>2</v>
      </c>
      <c r="C149" s="185">
        <v>20</v>
      </c>
      <c r="D149" s="12">
        <v>4</v>
      </c>
      <c r="E149" s="140">
        <f>10513.709395/1000000</f>
        <v>1.0513709394999999E-2</v>
      </c>
      <c r="F149" s="197"/>
      <c r="G149" s="81"/>
      <c r="H149" s="173"/>
    </row>
    <row r="150" spans="1:10">
      <c r="A150" s="3" t="s">
        <v>20</v>
      </c>
      <c r="B150" s="11">
        <v>1</v>
      </c>
      <c r="C150" s="185">
        <v>20</v>
      </c>
      <c r="D150" s="12">
        <v>4</v>
      </c>
      <c r="E150" s="140">
        <f>20219221.834926/1000000</f>
        <v>20.219221834926003</v>
      </c>
      <c r="F150" s="197"/>
      <c r="G150" s="81"/>
      <c r="H150" s="173"/>
    </row>
    <row r="151" spans="1:10">
      <c r="A151" s="25" t="s">
        <v>328</v>
      </c>
      <c r="B151" s="11">
        <v>1</v>
      </c>
      <c r="C151" s="185">
        <v>22</v>
      </c>
      <c r="D151" s="12">
        <v>4</v>
      </c>
      <c r="E151" s="140">
        <f>23034.922662/1000000</f>
        <v>2.3034922661999999E-2</v>
      </c>
      <c r="F151" s="197"/>
      <c r="G151" s="81"/>
      <c r="H151" s="173"/>
    </row>
    <row r="152" spans="1:10">
      <c r="A152" s="3" t="s">
        <v>56</v>
      </c>
      <c r="B152" s="11">
        <v>1</v>
      </c>
      <c r="C152" s="185">
        <v>17</v>
      </c>
      <c r="D152" s="12">
        <v>3</v>
      </c>
      <c r="E152" s="140">
        <f>7953715.680299/1000000</f>
        <v>7.9537156802990001</v>
      </c>
      <c r="F152" s="197"/>
      <c r="G152" s="81"/>
      <c r="H152" s="173"/>
    </row>
    <row r="153" spans="1:10">
      <c r="A153" s="3" t="s">
        <v>49</v>
      </c>
      <c r="B153" s="11">
        <v>1</v>
      </c>
      <c r="C153" s="185">
        <v>20</v>
      </c>
      <c r="D153" s="12">
        <v>4</v>
      </c>
      <c r="E153" s="140">
        <f>67880372.761797/1000000</f>
        <v>67.880372761796991</v>
      </c>
      <c r="F153" s="197"/>
      <c r="G153" s="81"/>
      <c r="H153" s="173"/>
    </row>
    <row r="154" spans="1:10">
      <c r="A154" s="3" t="s">
        <v>80</v>
      </c>
      <c r="B154" s="11">
        <v>1</v>
      </c>
      <c r="C154" s="185">
        <v>18</v>
      </c>
      <c r="D154" s="12">
        <v>3</v>
      </c>
      <c r="E154" s="140">
        <f>532684.301666/1000000</f>
        <v>0.532684301666</v>
      </c>
      <c r="F154" s="197"/>
      <c r="G154" s="81"/>
      <c r="H154" s="173"/>
    </row>
    <row r="155" spans="1:10" ht="15.75" thickBot="1">
      <c r="A155" s="34" t="s">
        <v>359</v>
      </c>
      <c r="B155" s="30">
        <v>1</v>
      </c>
      <c r="C155" s="188">
        <v>16</v>
      </c>
      <c r="D155" s="31">
        <v>2</v>
      </c>
      <c r="E155" s="154">
        <f>167751.678027/1000000</f>
        <v>0.167751678027</v>
      </c>
      <c r="F155" s="198"/>
      <c r="G155" s="77"/>
      <c r="H155" s="172"/>
    </row>
    <row r="156" spans="1:10" ht="16.5" thickTop="1" thickBot="1">
      <c r="A156" s="25" t="s">
        <v>32</v>
      </c>
      <c r="B156" s="11">
        <v>1</v>
      </c>
      <c r="C156" s="185">
        <v>17</v>
      </c>
      <c r="D156" s="28">
        <v>3</v>
      </c>
      <c r="E156" s="143">
        <f>78897.1401351/1000000</f>
        <v>7.8897140135099991E-2</v>
      </c>
      <c r="F156" s="211" t="s">
        <v>172</v>
      </c>
      <c r="G156" s="76"/>
      <c r="H156" s="170"/>
    </row>
    <row r="157" spans="1:10" ht="15.75" thickBot="1">
      <c r="A157" s="25" t="s">
        <v>360</v>
      </c>
      <c r="B157" s="11">
        <v>1</v>
      </c>
      <c r="C157" s="185">
        <v>11</v>
      </c>
      <c r="D157" s="12">
        <v>1</v>
      </c>
      <c r="E157" s="143">
        <f>41964716.9161/1000000</f>
        <v>41.964716916100002</v>
      </c>
      <c r="F157" s="200"/>
      <c r="G157" s="82">
        <v>1</v>
      </c>
      <c r="H157" s="145">
        <f>E157</f>
        <v>41.964716916100002</v>
      </c>
    </row>
    <row r="158" spans="1:10" ht="15.75" thickBot="1">
      <c r="A158" s="25" t="s">
        <v>361</v>
      </c>
      <c r="B158" s="11">
        <v>2</v>
      </c>
      <c r="C158" s="185">
        <v>15</v>
      </c>
      <c r="D158" s="12">
        <v>2</v>
      </c>
      <c r="E158" s="143">
        <f>230926.316509/1000000</f>
        <v>0.230926316509</v>
      </c>
      <c r="F158" s="200"/>
      <c r="G158" s="82">
        <v>2</v>
      </c>
      <c r="H158" s="145">
        <f>E158</f>
        <v>0.230926316509</v>
      </c>
      <c r="J158" s="51"/>
    </row>
    <row r="159" spans="1:10" ht="15.75" thickBot="1">
      <c r="A159" s="25" t="s">
        <v>102</v>
      </c>
      <c r="B159" s="11">
        <v>2</v>
      </c>
      <c r="C159" s="185">
        <v>22</v>
      </c>
      <c r="D159" s="12">
        <v>5</v>
      </c>
      <c r="E159" s="143">
        <f>55924.7122291/1000000</f>
        <v>5.5924712229099997E-2</v>
      </c>
      <c r="F159" s="200"/>
      <c r="G159" s="82">
        <v>3</v>
      </c>
      <c r="H159" s="145">
        <f>E156</f>
        <v>7.8897140135099991E-2</v>
      </c>
    </row>
    <row r="160" spans="1:10" ht="15.75" thickBot="1">
      <c r="A160" s="25" t="s">
        <v>60</v>
      </c>
      <c r="B160" s="11">
        <v>3</v>
      </c>
      <c r="C160" s="185">
        <v>19</v>
      </c>
      <c r="D160" s="12">
        <v>4</v>
      </c>
      <c r="E160" s="143">
        <f>8038526.69103/1000000</f>
        <v>8.0385266910300004</v>
      </c>
      <c r="F160" s="200"/>
      <c r="G160" s="82">
        <v>4</v>
      </c>
      <c r="H160" s="145">
        <f>E160+E161+E162</f>
        <v>36.024558200368006</v>
      </c>
    </row>
    <row r="161" spans="1:10" ht="15.75" thickBot="1">
      <c r="A161" s="25" t="s">
        <v>339</v>
      </c>
      <c r="B161" s="11">
        <v>1</v>
      </c>
      <c r="C161" s="185">
        <v>22</v>
      </c>
      <c r="D161" s="12">
        <v>4</v>
      </c>
      <c r="E161" s="143">
        <f>27912515.3539/1000000</f>
        <v>27.912515353900002</v>
      </c>
      <c r="F161" s="200"/>
      <c r="G161" s="82">
        <v>5</v>
      </c>
      <c r="H161" s="145">
        <f>E159</f>
        <v>5.5924712229099997E-2</v>
      </c>
    </row>
    <row r="162" spans="1:10" ht="15.75" thickBot="1">
      <c r="A162" s="34" t="s">
        <v>103</v>
      </c>
      <c r="B162" s="30">
        <v>3</v>
      </c>
      <c r="C162" s="188">
        <v>19</v>
      </c>
      <c r="D162" s="31">
        <v>4</v>
      </c>
      <c r="E162" s="144">
        <f>73516.155438/1000000</f>
        <v>7.3516155437999997E-2</v>
      </c>
      <c r="F162" s="213"/>
      <c r="G162" s="77"/>
      <c r="H162" s="172"/>
    </row>
    <row r="163" spans="1:10" ht="16.5" thickTop="1" thickBot="1">
      <c r="A163" s="25" t="s">
        <v>362</v>
      </c>
      <c r="B163" s="11">
        <v>0</v>
      </c>
      <c r="C163" s="185">
        <v>20</v>
      </c>
      <c r="D163" s="28">
        <v>3</v>
      </c>
      <c r="E163" s="143">
        <f>2623049.41933/1000000</f>
        <v>2.62304941933</v>
      </c>
      <c r="F163" s="211" t="s">
        <v>173</v>
      </c>
      <c r="G163" s="82">
        <v>1</v>
      </c>
      <c r="H163" s="170">
        <f>E171</f>
        <v>0.38740250333199999</v>
      </c>
    </row>
    <row r="164" spans="1:10" ht="15.75" thickBot="1">
      <c r="A164" s="25" t="s">
        <v>65</v>
      </c>
      <c r="B164" s="11">
        <v>0</v>
      </c>
      <c r="C164" s="185">
        <v>25</v>
      </c>
      <c r="D164" s="12">
        <v>5</v>
      </c>
      <c r="E164" s="143">
        <f>18863992.0566/1000000</f>
        <v>18.863992056600001</v>
      </c>
      <c r="F164" s="200"/>
      <c r="G164" s="84"/>
      <c r="H164" s="145"/>
    </row>
    <row r="165" spans="1:10" ht="15.75" thickBot="1">
      <c r="A165" s="25" t="s">
        <v>66</v>
      </c>
      <c r="B165" s="11">
        <v>2</v>
      </c>
      <c r="C165" s="185">
        <v>17</v>
      </c>
      <c r="D165" s="12">
        <v>3</v>
      </c>
      <c r="E165" s="143">
        <f>75177688.8509/1000000</f>
        <v>75.177688850899997</v>
      </c>
      <c r="F165" s="200"/>
      <c r="G165" s="82">
        <v>2</v>
      </c>
      <c r="H165" s="173">
        <f>E166+E170</f>
        <v>130.9514447183</v>
      </c>
      <c r="J165" s="51"/>
    </row>
    <row r="166" spans="1:10" ht="15.75" thickBot="1">
      <c r="A166" s="25" t="s">
        <v>363</v>
      </c>
      <c r="B166" s="11">
        <v>2</v>
      </c>
      <c r="C166" s="185">
        <v>14</v>
      </c>
      <c r="D166" s="12">
        <v>2</v>
      </c>
      <c r="E166" s="143">
        <f>119757507.993/1000000</f>
        <v>119.757507993</v>
      </c>
      <c r="F166" s="200"/>
      <c r="G166" s="84"/>
      <c r="H166" s="145"/>
    </row>
    <row r="167" spans="1:10" ht="15.75" thickBot="1">
      <c r="A167" s="25" t="s">
        <v>61</v>
      </c>
      <c r="B167" s="11">
        <v>2</v>
      </c>
      <c r="C167" s="185">
        <v>17</v>
      </c>
      <c r="D167" s="12">
        <v>3</v>
      </c>
      <c r="E167" s="143">
        <f>37937753.9037/1000000</f>
        <v>37.937753903699999</v>
      </c>
      <c r="F167" s="200"/>
      <c r="G167" s="82">
        <v>3</v>
      </c>
      <c r="H167" s="173">
        <f>E163+E165+E167+E169+E173</f>
        <v>128.57957190210502</v>
      </c>
    </row>
    <row r="168" spans="1:10" ht="15.75" thickBot="1">
      <c r="A168" s="25" t="s">
        <v>64</v>
      </c>
      <c r="B168" s="11">
        <v>2</v>
      </c>
      <c r="C168" s="185">
        <v>20</v>
      </c>
      <c r="D168" s="12">
        <v>4</v>
      </c>
      <c r="E168" s="143">
        <f>11924783.2137/1000000</f>
        <v>11.9247832137</v>
      </c>
      <c r="F168" s="200"/>
      <c r="G168" s="84"/>
      <c r="H168" s="145"/>
    </row>
    <row r="169" spans="1:10" ht="15.75" thickBot="1">
      <c r="A169" s="25" t="s">
        <v>364</v>
      </c>
      <c r="B169" s="11">
        <v>0</v>
      </c>
      <c r="C169" s="185">
        <v>20</v>
      </c>
      <c r="D169" s="12">
        <v>3</v>
      </c>
      <c r="E169" s="143">
        <f>12833847.0827/1000000</f>
        <v>12.833847082699998</v>
      </c>
      <c r="F169" s="200"/>
      <c r="G169" s="82">
        <v>4</v>
      </c>
      <c r="H169" s="173">
        <f>E168</f>
        <v>11.9247832137</v>
      </c>
    </row>
    <row r="170" spans="1:10" ht="15.75" thickBot="1">
      <c r="A170" s="25" t="s">
        <v>62</v>
      </c>
      <c r="B170" s="11">
        <v>0</v>
      </c>
      <c r="C170" s="185">
        <v>15</v>
      </c>
      <c r="D170" s="12">
        <v>2</v>
      </c>
      <c r="E170" s="143">
        <f>11193936.7253/1000000</f>
        <v>11.193936725299999</v>
      </c>
      <c r="F170" s="200"/>
      <c r="G170" s="84"/>
      <c r="H170" s="145"/>
    </row>
    <row r="171" spans="1:10" ht="15.75" thickBot="1">
      <c r="A171" s="25" t="s">
        <v>365</v>
      </c>
      <c r="B171" s="11">
        <v>1</v>
      </c>
      <c r="C171" s="185">
        <v>13</v>
      </c>
      <c r="D171" s="12">
        <v>1</v>
      </c>
      <c r="E171" s="143">
        <f>387402.503332/1000000</f>
        <v>0.38740250333199999</v>
      </c>
      <c r="F171" s="200"/>
      <c r="G171" s="82">
        <v>5</v>
      </c>
      <c r="H171" s="173">
        <f>E164+E172</f>
        <v>48.639288945300002</v>
      </c>
    </row>
    <row r="172" spans="1:10">
      <c r="A172" s="25" t="s">
        <v>63</v>
      </c>
      <c r="B172" s="11">
        <v>3</v>
      </c>
      <c r="C172" s="185">
        <v>25</v>
      </c>
      <c r="D172" s="12">
        <v>5</v>
      </c>
      <c r="E172" s="143">
        <f>29775296.8887/1000000</f>
        <v>29.775296888700002</v>
      </c>
      <c r="F172" s="200"/>
      <c r="G172" s="76"/>
      <c r="H172" s="170"/>
    </row>
    <row r="173" spans="1:10" ht="15.75" thickBot="1">
      <c r="A173" s="34" t="s">
        <v>114</v>
      </c>
      <c r="B173" s="30">
        <v>3</v>
      </c>
      <c r="C173" s="188">
        <v>17</v>
      </c>
      <c r="D173" s="31">
        <v>3</v>
      </c>
      <c r="E173" s="144">
        <f>7232.64547504/1000000</f>
        <v>7.2326454750399997E-3</v>
      </c>
      <c r="F173" s="200"/>
      <c r="G173" s="77"/>
      <c r="H173" s="172"/>
    </row>
    <row r="174" spans="1:10" ht="16.5" thickTop="1" thickBot="1">
      <c r="A174" s="25" t="s">
        <v>366</v>
      </c>
      <c r="B174" s="11">
        <v>1</v>
      </c>
      <c r="C174" s="185">
        <v>21</v>
      </c>
      <c r="D174" s="12">
        <v>4</v>
      </c>
      <c r="E174" s="143">
        <f>17463432.551863/1000000</f>
        <v>17.463432551863001</v>
      </c>
      <c r="F174" s="215" t="s">
        <v>174</v>
      </c>
      <c r="G174" s="76"/>
      <c r="H174" s="170"/>
    </row>
    <row r="175" spans="1:10" ht="15.75" thickBot="1">
      <c r="A175" s="25" t="s">
        <v>367</v>
      </c>
      <c r="B175" s="11">
        <v>1</v>
      </c>
      <c r="C175" s="185">
        <v>21</v>
      </c>
      <c r="D175" s="12">
        <v>4</v>
      </c>
      <c r="E175" s="143">
        <f>30170527.755972/1000000</f>
        <v>30.170527755972003</v>
      </c>
      <c r="F175" s="197"/>
      <c r="G175" s="82">
        <v>1</v>
      </c>
      <c r="H175" s="145">
        <f>E178</f>
        <v>0.93385765169800006</v>
      </c>
    </row>
    <row r="176" spans="1:10" ht="15.75" thickBot="1">
      <c r="A176" s="25" t="s">
        <v>68</v>
      </c>
      <c r="B176" s="11">
        <v>2</v>
      </c>
      <c r="C176" s="185">
        <v>20</v>
      </c>
      <c r="D176" s="12">
        <v>4</v>
      </c>
      <c r="E176" s="143">
        <f>74601836.083891/1000000</f>
        <v>74.601836083891001</v>
      </c>
      <c r="F176" s="197"/>
      <c r="G176" s="82">
        <v>2</v>
      </c>
      <c r="H176" s="145">
        <f>E179</f>
        <v>15.069168468183999</v>
      </c>
      <c r="J176" s="51"/>
    </row>
    <row r="177" spans="1:10" ht="15.75" thickBot="1">
      <c r="A177" s="25" t="s">
        <v>368</v>
      </c>
      <c r="B177" s="11">
        <v>1</v>
      </c>
      <c r="C177" s="185">
        <v>19</v>
      </c>
      <c r="D177" s="12">
        <v>3</v>
      </c>
      <c r="E177" s="143">
        <f>37880986.510091/1000000</f>
        <v>37.880986510090999</v>
      </c>
      <c r="F177" s="197"/>
      <c r="G177" s="82">
        <v>3</v>
      </c>
      <c r="H177" s="145">
        <f>E177</f>
        <v>37.880986510090999</v>
      </c>
    </row>
    <row r="178" spans="1:10" ht="15.75" thickBot="1">
      <c r="A178" s="25" t="s">
        <v>369</v>
      </c>
      <c r="B178" s="11">
        <v>0</v>
      </c>
      <c r="C178" s="185">
        <v>14</v>
      </c>
      <c r="D178" s="12">
        <v>1</v>
      </c>
      <c r="E178" s="143">
        <f>933857.651698/1000000</f>
        <v>0.93385765169800006</v>
      </c>
      <c r="F178" s="197"/>
      <c r="G178" s="82">
        <v>4</v>
      </c>
      <c r="H178" s="145">
        <f>E174+E175+E176</f>
        <v>122.23579639172601</v>
      </c>
    </row>
    <row r="179" spans="1:10" ht="15.75" thickBot="1">
      <c r="A179" s="34" t="s">
        <v>67</v>
      </c>
      <c r="B179" s="30">
        <v>1</v>
      </c>
      <c r="C179" s="188">
        <v>14</v>
      </c>
      <c r="D179" s="31">
        <v>2</v>
      </c>
      <c r="E179" s="144">
        <f>15069168.468184/1000000</f>
        <v>15.069168468183999</v>
      </c>
      <c r="F179" s="204"/>
      <c r="G179" s="77"/>
      <c r="H179" s="172"/>
    </row>
    <row r="180" spans="1:10" ht="16.5" thickTop="1" thickBot="1">
      <c r="A180" s="25" t="s">
        <v>69</v>
      </c>
      <c r="B180" s="11">
        <v>2</v>
      </c>
      <c r="C180" s="185">
        <v>22</v>
      </c>
      <c r="D180" s="12">
        <v>5</v>
      </c>
      <c r="E180" s="143">
        <f>5701386.626628/1000000</f>
        <v>5.7013866266280004</v>
      </c>
      <c r="F180" s="199" t="s">
        <v>175</v>
      </c>
      <c r="G180" s="76"/>
      <c r="H180" s="170"/>
    </row>
    <row r="181" spans="1:10" ht="15.75" thickBot="1">
      <c r="A181" s="25" t="s">
        <v>28</v>
      </c>
      <c r="B181" s="11">
        <v>1</v>
      </c>
      <c r="C181" s="185">
        <v>17</v>
      </c>
      <c r="D181" s="12">
        <v>3</v>
      </c>
      <c r="E181" s="143">
        <f>47331826.393888/1000000</f>
        <v>47.331826393887994</v>
      </c>
      <c r="F181" s="196"/>
      <c r="G181" s="82">
        <v>2</v>
      </c>
      <c r="H181" s="145">
        <f>E184</f>
        <v>0.38609610384499998</v>
      </c>
    </row>
    <row r="182" spans="1:10" ht="15.75" thickBot="1">
      <c r="A182" s="25" t="s">
        <v>370</v>
      </c>
      <c r="B182" s="11">
        <v>1</v>
      </c>
      <c r="C182" s="185">
        <v>21</v>
      </c>
      <c r="D182" s="12">
        <v>4</v>
      </c>
      <c r="E182" s="143">
        <f>453089.421696/1000000</f>
        <v>0.45308942169599997</v>
      </c>
      <c r="F182" s="196"/>
      <c r="G182" s="82">
        <v>3</v>
      </c>
      <c r="H182" s="145">
        <f>E181+E185</f>
        <v>130.47660371088801</v>
      </c>
      <c r="J182" s="51"/>
    </row>
    <row r="183" spans="1:10" ht="15.75" thickBot="1">
      <c r="A183" s="25" t="s">
        <v>86</v>
      </c>
      <c r="B183" s="11">
        <v>2</v>
      </c>
      <c r="C183" s="185">
        <v>22</v>
      </c>
      <c r="D183" s="12">
        <v>5</v>
      </c>
      <c r="E183" s="143">
        <f>331082.381377/1000000</f>
        <v>0.33108238137700002</v>
      </c>
      <c r="F183" s="196"/>
      <c r="G183" s="82">
        <v>4</v>
      </c>
      <c r="H183" s="145">
        <f>E182</f>
        <v>0.45308942169599997</v>
      </c>
    </row>
    <row r="184" spans="1:10" ht="15.75" thickBot="1">
      <c r="A184" s="25" t="s">
        <v>104</v>
      </c>
      <c r="B184" s="11">
        <v>1</v>
      </c>
      <c r="C184" s="185">
        <v>15</v>
      </c>
      <c r="D184" s="12">
        <v>2</v>
      </c>
      <c r="E184" s="143">
        <f>386096.103845/1000000</f>
        <v>0.38609610384499998</v>
      </c>
      <c r="F184" s="196"/>
      <c r="G184" s="82">
        <v>5</v>
      </c>
      <c r="H184" s="145">
        <f>E183+E180</f>
        <v>6.0324690080050001</v>
      </c>
    </row>
    <row r="185" spans="1:10" ht="15.75" thickBot="1">
      <c r="A185" s="34" t="s">
        <v>70</v>
      </c>
      <c r="B185" s="30">
        <v>2</v>
      </c>
      <c r="C185" s="188">
        <v>17</v>
      </c>
      <c r="D185" s="31">
        <v>3</v>
      </c>
      <c r="E185" s="144">
        <f>83144777.317/1000000</f>
        <v>83.144777317000006</v>
      </c>
      <c r="F185" s="204"/>
      <c r="G185" s="77"/>
      <c r="H185" s="172"/>
    </row>
    <row r="186" spans="1:10" ht="16.5" thickTop="1" thickBot="1">
      <c r="A186" s="25" t="s">
        <v>371</v>
      </c>
      <c r="B186" s="11">
        <v>2</v>
      </c>
      <c r="C186" s="185">
        <v>21</v>
      </c>
      <c r="D186" s="12">
        <v>4</v>
      </c>
      <c r="E186" s="143">
        <f>52568580.032288/1000000</f>
        <v>52.568580032287997</v>
      </c>
      <c r="F186" s="199" t="s">
        <v>176</v>
      </c>
      <c r="G186" s="76"/>
      <c r="H186" s="170"/>
    </row>
    <row r="187" spans="1:10" ht="15.75" thickBot="1">
      <c r="A187" s="25" t="s">
        <v>26</v>
      </c>
      <c r="B187" s="11">
        <v>2</v>
      </c>
      <c r="C187" s="185">
        <v>16</v>
      </c>
      <c r="D187" s="12">
        <v>3</v>
      </c>
      <c r="E187" s="143">
        <f>48770721.649201/1000000</f>
        <v>48.770721649201001</v>
      </c>
      <c r="F187" s="197"/>
      <c r="G187" s="82">
        <v>3</v>
      </c>
      <c r="H187" s="145">
        <f>E187+E188+E191</f>
        <v>135.33914899946501</v>
      </c>
    </row>
    <row r="188" spans="1:10" ht="15.75" thickBot="1">
      <c r="A188" s="25" t="s">
        <v>330</v>
      </c>
      <c r="B188" s="11">
        <v>1</v>
      </c>
      <c r="C188" s="185">
        <v>19</v>
      </c>
      <c r="D188" s="12">
        <v>3</v>
      </c>
      <c r="E188" s="143">
        <f>75552992.914038/1000000</f>
        <v>75.552992914038001</v>
      </c>
      <c r="F188" s="197"/>
      <c r="G188" s="82">
        <v>4</v>
      </c>
      <c r="H188" s="145">
        <f>E186</f>
        <v>52.568580032287997</v>
      </c>
      <c r="J188" s="51"/>
    </row>
    <row r="189" spans="1:10" ht="15.75" thickBot="1">
      <c r="A189" s="25" t="s">
        <v>73</v>
      </c>
      <c r="B189" s="11">
        <v>1</v>
      </c>
      <c r="C189" s="185">
        <v>23</v>
      </c>
      <c r="D189" s="12">
        <v>5</v>
      </c>
      <c r="E189" s="143">
        <f>16528210.963442/1000000</f>
        <v>16.528210963442</v>
      </c>
      <c r="F189" s="197"/>
      <c r="G189" s="82">
        <v>5</v>
      </c>
      <c r="H189" s="145">
        <f>E189+E190</f>
        <v>44.987982691688003</v>
      </c>
    </row>
    <row r="190" spans="1:10">
      <c r="A190" s="25" t="s">
        <v>72</v>
      </c>
      <c r="B190" s="11">
        <v>3</v>
      </c>
      <c r="C190" s="185">
        <v>22</v>
      </c>
      <c r="D190" s="12">
        <v>5</v>
      </c>
      <c r="E190" s="143">
        <f>28459771.728246/1000000</f>
        <v>28.459771728246</v>
      </c>
      <c r="F190" s="197"/>
      <c r="G190" s="81"/>
      <c r="H190" s="173"/>
    </row>
    <row r="191" spans="1:10" ht="15.75" thickBot="1">
      <c r="A191" s="34" t="s">
        <v>71</v>
      </c>
      <c r="B191" s="30">
        <v>1</v>
      </c>
      <c r="C191" s="188">
        <v>17</v>
      </c>
      <c r="D191" s="31">
        <v>3</v>
      </c>
      <c r="E191" s="144">
        <f>11015434.436226/1000000</f>
        <v>11.015434436225998</v>
      </c>
      <c r="F191" s="204"/>
      <c r="G191" s="77"/>
      <c r="H191" s="172"/>
    </row>
    <row r="192" spans="1:10" ht="16.5" thickTop="1" thickBot="1">
      <c r="A192" s="25" t="s">
        <v>16</v>
      </c>
      <c r="B192" s="11">
        <v>1</v>
      </c>
      <c r="C192" s="185">
        <v>14</v>
      </c>
      <c r="D192" s="12">
        <v>2</v>
      </c>
      <c r="E192" s="143">
        <f>400679.579822/1000000</f>
        <v>0.40067957982199998</v>
      </c>
      <c r="F192" s="201" t="s">
        <v>177</v>
      </c>
      <c r="G192" s="76"/>
      <c r="H192" s="170"/>
    </row>
    <row r="193" spans="1:10" ht="15.75" thickBot="1">
      <c r="A193" s="25" t="s">
        <v>28</v>
      </c>
      <c r="B193" s="11">
        <v>1</v>
      </c>
      <c r="C193" s="185">
        <v>17</v>
      </c>
      <c r="D193" s="12">
        <v>3</v>
      </c>
      <c r="E193" s="143">
        <f>498227.935718/1000000</f>
        <v>0.498227935718</v>
      </c>
      <c r="F193" s="202"/>
      <c r="G193" s="82">
        <v>2</v>
      </c>
      <c r="H193" s="145">
        <f>E192+E195+E198+E202</f>
        <v>43.386058965909001</v>
      </c>
    </row>
    <row r="194" spans="1:10" ht="15.75" thickBot="1">
      <c r="A194" s="25" t="s">
        <v>320</v>
      </c>
      <c r="B194" s="11">
        <v>1</v>
      </c>
      <c r="C194" s="185">
        <v>22</v>
      </c>
      <c r="D194" s="12">
        <v>4</v>
      </c>
      <c r="E194" s="143">
        <f>35380570.653607/1000000</f>
        <v>35.380570653607002</v>
      </c>
      <c r="F194" s="202"/>
      <c r="G194" s="81"/>
      <c r="H194" s="173"/>
    </row>
    <row r="195" spans="1:10" ht="15.75" thickBot="1">
      <c r="A195" s="25" t="s">
        <v>14</v>
      </c>
      <c r="B195" s="11">
        <v>1</v>
      </c>
      <c r="C195" s="185">
        <v>15</v>
      </c>
      <c r="D195" s="12">
        <v>2</v>
      </c>
      <c r="E195" s="143">
        <f>16233.344028/1000000</f>
        <v>1.6233344027999998E-2</v>
      </c>
      <c r="F195" s="202"/>
      <c r="G195" s="82">
        <v>3</v>
      </c>
      <c r="H195" s="145">
        <f>E193+E196</f>
        <v>4.3377975210070003</v>
      </c>
    </row>
    <row r="196" spans="1:10" ht="15.75" thickBot="1">
      <c r="A196" s="25" t="s">
        <v>75</v>
      </c>
      <c r="B196" s="11">
        <v>1</v>
      </c>
      <c r="C196" s="185">
        <v>17</v>
      </c>
      <c r="D196" s="12">
        <v>3</v>
      </c>
      <c r="E196" s="143">
        <f>3839569.585289/1000000</f>
        <v>3.8395695852889999</v>
      </c>
      <c r="F196" s="202"/>
      <c r="G196" s="81"/>
      <c r="H196" s="173"/>
      <c r="J196" s="51"/>
    </row>
    <row r="197" spans="1:10" ht="15.75" thickBot="1">
      <c r="A197" s="25" t="s">
        <v>27</v>
      </c>
      <c r="B197" s="11">
        <v>2</v>
      </c>
      <c r="C197" s="185">
        <v>24</v>
      </c>
      <c r="D197" s="12">
        <v>5</v>
      </c>
      <c r="E197" s="143">
        <f>31264588.375947/1000000</f>
        <v>31.264588375947</v>
      </c>
      <c r="F197" s="202"/>
      <c r="G197" s="82">
        <v>4</v>
      </c>
      <c r="H197" s="145">
        <f>E194+E199+E201</f>
        <v>75.740185094110998</v>
      </c>
    </row>
    <row r="198" spans="1:10" ht="15.75" thickBot="1">
      <c r="A198" s="25" t="s">
        <v>74</v>
      </c>
      <c r="B198" s="11">
        <v>1</v>
      </c>
      <c r="C198" s="185">
        <v>14</v>
      </c>
      <c r="D198" s="12">
        <v>2</v>
      </c>
      <c r="E198" s="143">
        <f>16808138.982329/1000000</f>
        <v>16.808138982328998</v>
      </c>
      <c r="F198" s="202"/>
      <c r="G198" s="81"/>
      <c r="H198" s="173"/>
    </row>
    <row r="199" spans="1:10" ht="15.75" thickBot="1">
      <c r="A199" s="25" t="s">
        <v>372</v>
      </c>
      <c r="B199" s="11">
        <v>1</v>
      </c>
      <c r="C199" s="185">
        <v>21</v>
      </c>
      <c r="D199" s="12">
        <v>4</v>
      </c>
      <c r="E199" s="143">
        <f>9025553.253196/1000000</f>
        <v>9.0255532531959997</v>
      </c>
      <c r="F199" s="202"/>
      <c r="G199" s="82">
        <v>5</v>
      </c>
      <c r="H199" s="145">
        <f>E197+E200</f>
        <v>31.264777683637</v>
      </c>
    </row>
    <row r="200" spans="1:10">
      <c r="A200" s="25" t="s">
        <v>78</v>
      </c>
      <c r="B200" s="11">
        <v>3</v>
      </c>
      <c r="C200" s="185">
        <v>21</v>
      </c>
      <c r="D200" s="12">
        <v>5</v>
      </c>
      <c r="E200" s="143">
        <f>189.30769/1000000</f>
        <v>1.8930769E-4</v>
      </c>
      <c r="F200" s="202"/>
      <c r="G200" s="81"/>
      <c r="H200" s="173"/>
    </row>
    <row r="201" spans="1:10">
      <c r="A201" s="25" t="s">
        <v>321</v>
      </c>
      <c r="B201" s="11">
        <v>1</v>
      </c>
      <c r="C201" s="185">
        <v>22</v>
      </c>
      <c r="D201" s="12">
        <v>4</v>
      </c>
      <c r="E201" s="143">
        <f>31334061.187308/1000000</f>
        <v>31.334061187307999</v>
      </c>
      <c r="F201" s="202"/>
      <c r="G201" s="81"/>
      <c r="H201" s="173"/>
    </row>
    <row r="202" spans="1:10" ht="15.75" thickBot="1">
      <c r="A202" s="34" t="s">
        <v>29</v>
      </c>
      <c r="B202" s="30">
        <v>1</v>
      </c>
      <c r="C202" s="188">
        <v>15</v>
      </c>
      <c r="D202" s="31">
        <v>2</v>
      </c>
      <c r="E202" s="144">
        <f>26161007.05973/1000000</f>
        <v>26.16100705973</v>
      </c>
      <c r="F202" s="205"/>
      <c r="G202" s="77"/>
      <c r="H202" s="172"/>
    </row>
    <row r="203" spans="1:10" ht="16.5" thickTop="1" thickBot="1">
      <c r="A203" s="85" t="s">
        <v>25</v>
      </c>
      <c r="B203" s="60">
        <v>0</v>
      </c>
      <c r="C203" s="191">
        <v>15</v>
      </c>
      <c r="D203" s="61">
        <v>2</v>
      </c>
      <c r="E203" s="166">
        <f>226050392.338/1000000</f>
        <v>226.05039233799999</v>
      </c>
      <c r="F203" s="86" t="s">
        <v>178</v>
      </c>
      <c r="G203" s="82">
        <v>2</v>
      </c>
      <c r="H203" s="137">
        <f>E203</f>
        <v>226.05039233799999</v>
      </c>
      <c r="J203" s="51"/>
    </row>
    <row r="204" spans="1:10" ht="16.5" thickTop="1" thickBot="1">
      <c r="A204" s="25" t="s">
        <v>54</v>
      </c>
      <c r="B204" s="11">
        <v>1</v>
      </c>
      <c r="C204" s="185">
        <v>18</v>
      </c>
      <c r="D204" s="28">
        <v>3</v>
      </c>
      <c r="E204" s="143">
        <f>227019.867171/1000000</f>
        <v>0.22701986717099998</v>
      </c>
      <c r="F204" s="206" t="s">
        <v>179</v>
      </c>
      <c r="G204" s="76"/>
      <c r="H204" s="170"/>
      <c r="J204" s="51"/>
    </row>
    <row r="205" spans="1:10" ht="15.75" thickBot="1">
      <c r="A205" s="25" t="s">
        <v>362</v>
      </c>
      <c r="B205" s="11">
        <v>0</v>
      </c>
      <c r="C205" s="185">
        <v>20</v>
      </c>
      <c r="D205" s="28">
        <v>3</v>
      </c>
      <c r="E205" s="143">
        <f>73386.479722/1000000</f>
        <v>7.3386479722000006E-2</v>
      </c>
      <c r="F205" s="200"/>
      <c r="G205" s="82">
        <v>3</v>
      </c>
      <c r="H205" s="145">
        <f>E204+E205+E207</f>
        <v>23.406389006584998</v>
      </c>
    </row>
    <row r="206" spans="1:10" ht="15.75" thickBot="1">
      <c r="A206" s="25" t="s">
        <v>65</v>
      </c>
      <c r="B206" s="11">
        <v>0</v>
      </c>
      <c r="C206" s="185">
        <v>25</v>
      </c>
      <c r="D206" s="28">
        <v>5</v>
      </c>
      <c r="E206" s="143">
        <f>79296378.077808/1000000</f>
        <v>79.296378077807987</v>
      </c>
      <c r="F206" s="200"/>
      <c r="G206" s="82">
        <v>5</v>
      </c>
      <c r="H206" s="145">
        <f>E206</f>
        <v>79.296378077807987</v>
      </c>
    </row>
    <row r="207" spans="1:10" ht="15.75" thickBot="1">
      <c r="A207" s="34" t="s">
        <v>66</v>
      </c>
      <c r="B207" s="30">
        <v>2</v>
      </c>
      <c r="C207" s="188">
        <v>17</v>
      </c>
      <c r="D207" s="31">
        <v>3</v>
      </c>
      <c r="E207" s="144">
        <f>23105982.659692/1000000</f>
        <v>23.105982659692</v>
      </c>
      <c r="F207" s="198"/>
      <c r="G207" s="77"/>
      <c r="H207" s="172"/>
    </row>
    <row r="208" spans="1:10" ht="16.5" thickTop="1" thickBot="1">
      <c r="A208" s="5" t="s">
        <v>28</v>
      </c>
      <c r="B208" s="27">
        <v>1</v>
      </c>
      <c r="C208" s="189">
        <v>17</v>
      </c>
      <c r="D208" s="28">
        <v>3</v>
      </c>
      <c r="E208" s="143">
        <f>9403468.444844/1000000</f>
        <v>9.403468444844</v>
      </c>
      <c r="F208" s="196" t="s">
        <v>180</v>
      </c>
      <c r="G208" s="82">
        <v>3</v>
      </c>
      <c r="H208" s="145">
        <f>E208</f>
        <v>9.403468444844</v>
      </c>
      <c r="J208" s="51"/>
    </row>
    <row r="209" spans="1:10" ht="15.75" thickBot="1">
      <c r="A209" s="29" t="s">
        <v>30</v>
      </c>
      <c r="B209" s="30">
        <v>3</v>
      </c>
      <c r="C209" s="188">
        <v>24</v>
      </c>
      <c r="D209" s="31">
        <v>5</v>
      </c>
      <c r="E209" s="144">
        <f>39408260.530547/1000000</f>
        <v>39.408260530547004</v>
      </c>
      <c r="F209" s="198"/>
      <c r="G209" s="82">
        <v>5</v>
      </c>
      <c r="H209" s="145">
        <f>E209</f>
        <v>39.408260530547004</v>
      </c>
    </row>
    <row r="210" spans="1:10" ht="16.5" thickTop="1" thickBot="1">
      <c r="A210" s="5" t="s">
        <v>77</v>
      </c>
      <c r="B210" s="27">
        <v>1</v>
      </c>
      <c r="C210" s="189">
        <v>17</v>
      </c>
      <c r="D210" s="28">
        <v>3</v>
      </c>
      <c r="E210" s="143">
        <f>4718168.043721/1000000</f>
        <v>4.7181680437209996</v>
      </c>
      <c r="F210" s="199" t="s">
        <v>181</v>
      </c>
      <c r="G210" s="76"/>
      <c r="H210" s="170"/>
    </row>
    <row r="211" spans="1:10" ht="15.75" thickBot="1">
      <c r="A211" s="25" t="s">
        <v>30</v>
      </c>
      <c r="B211" s="11">
        <v>3</v>
      </c>
      <c r="C211" s="185">
        <v>24</v>
      </c>
      <c r="D211" s="12">
        <v>5</v>
      </c>
      <c r="E211" s="143">
        <f>16619126.020578/1000000</f>
        <v>16.619126020578001</v>
      </c>
      <c r="F211" s="197"/>
      <c r="G211" s="82">
        <v>2</v>
      </c>
      <c r="H211" s="145">
        <f>E213+E215</f>
        <v>6.8980895231200003</v>
      </c>
    </row>
    <row r="212" spans="1:10" ht="15.75" thickBot="1">
      <c r="A212" s="25" t="s">
        <v>372</v>
      </c>
      <c r="B212" s="11">
        <v>1</v>
      </c>
      <c r="C212" s="185">
        <v>21</v>
      </c>
      <c r="D212" s="12">
        <v>4</v>
      </c>
      <c r="E212" s="143">
        <f>6116170.977586/1000000</f>
        <v>6.116170977586</v>
      </c>
      <c r="F212" s="197"/>
      <c r="G212" s="82">
        <v>3</v>
      </c>
      <c r="H212" s="145">
        <f>E210</f>
        <v>4.7181680437209996</v>
      </c>
      <c r="J212" s="51"/>
    </row>
    <row r="213" spans="1:10" ht="15.75" thickBot="1">
      <c r="A213" s="25" t="s">
        <v>76</v>
      </c>
      <c r="B213" s="11">
        <v>1</v>
      </c>
      <c r="C213" s="185">
        <v>15</v>
      </c>
      <c r="D213" s="12">
        <v>2</v>
      </c>
      <c r="E213" s="143">
        <f>1821188.309326/1000000</f>
        <v>1.821188309326</v>
      </c>
      <c r="F213" s="197"/>
      <c r="G213" s="82">
        <v>4</v>
      </c>
      <c r="H213" s="145">
        <f>E212</f>
        <v>6.116170977586</v>
      </c>
    </row>
    <row r="214" spans="1:10" ht="15.75" thickBot="1">
      <c r="A214" s="25" t="s">
        <v>78</v>
      </c>
      <c r="B214" s="11">
        <v>3</v>
      </c>
      <c r="C214" s="185">
        <v>21</v>
      </c>
      <c r="D214" s="12">
        <v>5</v>
      </c>
      <c r="E214" s="143">
        <f>31246472.629978/1000000</f>
        <v>31.246472629978001</v>
      </c>
      <c r="F214" s="197"/>
      <c r="G214" s="82">
        <v>5</v>
      </c>
      <c r="H214" s="145">
        <f>E211+E214</f>
        <v>47.865598650556002</v>
      </c>
    </row>
    <row r="215" spans="1:10" ht="15.75" thickBot="1">
      <c r="A215" s="29" t="s">
        <v>29</v>
      </c>
      <c r="B215" s="30">
        <v>1</v>
      </c>
      <c r="C215" s="188">
        <v>15</v>
      </c>
      <c r="D215" s="21">
        <v>2</v>
      </c>
      <c r="E215" s="144">
        <f>5076901.213794/1000000</f>
        <v>5.0769012137940006</v>
      </c>
      <c r="F215" s="198"/>
      <c r="G215" s="77"/>
      <c r="H215" s="172"/>
    </row>
    <row r="216" spans="1:10" ht="16.5" thickTop="1" thickBot="1">
      <c r="A216" s="5" t="s">
        <v>53</v>
      </c>
      <c r="B216" s="27">
        <v>0</v>
      </c>
      <c r="C216" s="189">
        <v>15</v>
      </c>
      <c r="D216" s="22">
        <v>2</v>
      </c>
      <c r="E216" s="143">
        <f>453889.564988/1000000</f>
        <v>0.45388956498800004</v>
      </c>
      <c r="F216" s="196" t="s">
        <v>182</v>
      </c>
      <c r="G216" s="76"/>
      <c r="H216" s="170"/>
    </row>
    <row r="217" spans="1:10" ht="15.75" thickBot="1">
      <c r="A217" s="25" t="s">
        <v>115</v>
      </c>
      <c r="B217" s="11">
        <v>0</v>
      </c>
      <c r="C217" s="185">
        <v>15</v>
      </c>
      <c r="D217" s="87">
        <v>2</v>
      </c>
      <c r="E217" s="143">
        <f>388260.188026/1000000</f>
        <v>0.38826018802599999</v>
      </c>
      <c r="F217" s="200"/>
      <c r="G217" s="82">
        <v>1</v>
      </c>
      <c r="H217" s="145">
        <f>E218</f>
        <v>0.18102519804200001</v>
      </c>
    </row>
    <row r="218" spans="1:10" ht="15.75" thickBot="1">
      <c r="A218" s="25" t="s">
        <v>357</v>
      </c>
      <c r="B218" s="11">
        <v>0</v>
      </c>
      <c r="C218" s="185">
        <v>14</v>
      </c>
      <c r="D218" s="87">
        <v>1</v>
      </c>
      <c r="E218" s="143">
        <f>181025.198042/1000000</f>
        <v>0.18102519804200001</v>
      </c>
      <c r="F218" s="200"/>
      <c r="G218" s="82">
        <v>2</v>
      </c>
      <c r="H218" s="173">
        <f>E216+E217+E219+E222+E223</f>
        <v>3.6798589451750003</v>
      </c>
    </row>
    <row r="219" spans="1:10" ht="15.75" thickBot="1">
      <c r="A219" s="25" t="s">
        <v>59</v>
      </c>
      <c r="B219" s="11">
        <v>0</v>
      </c>
      <c r="C219" s="185">
        <v>15</v>
      </c>
      <c r="D219" s="87">
        <v>2</v>
      </c>
      <c r="E219" s="143">
        <f>1003872.658118/1000000</f>
        <v>1.003872658118</v>
      </c>
      <c r="F219" s="200"/>
      <c r="G219" s="82">
        <v>3</v>
      </c>
      <c r="H219" s="145">
        <f>E221</f>
        <v>58.410188681644996</v>
      </c>
    </row>
    <row r="220" spans="1:10" ht="15.75" thickBot="1">
      <c r="A220" s="25" t="s">
        <v>49</v>
      </c>
      <c r="B220" s="11">
        <v>1</v>
      </c>
      <c r="C220" s="185">
        <v>20</v>
      </c>
      <c r="D220" s="87">
        <v>4</v>
      </c>
      <c r="E220" s="143">
        <f>34938.310834/1000000</f>
        <v>3.4938310834000001E-2</v>
      </c>
      <c r="F220" s="200"/>
      <c r="G220" s="82">
        <v>4</v>
      </c>
      <c r="H220" s="145">
        <f>E220</f>
        <v>3.4938310834000001E-2</v>
      </c>
    </row>
    <row r="221" spans="1:10">
      <c r="A221" s="25" t="s">
        <v>80</v>
      </c>
      <c r="B221" s="11">
        <v>1</v>
      </c>
      <c r="C221" s="185">
        <v>18</v>
      </c>
      <c r="D221" s="87">
        <v>3</v>
      </c>
      <c r="E221" s="143">
        <f>58410188.681645/1000000</f>
        <v>58.410188681644996</v>
      </c>
      <c r="F221" s="200"/>
      <c r="G221" s="81"/>
      <c r="H221" s="173"/>
    </row>
    <row r="222" spans="1:10">
      <c r="A222" s="25" t="s">
        <v>79</v>
      </c>
      <c r="B222" s="11">
        <v>1</v>
      </c>
      <c r="C222" s="185">
        <v>14</v>
      </c>
      <c r="D222" s="87">
        <v>2</v>
      </c>
      <c r="E222" s="143">
        <f>1833514.300101/1000000</f>
        <v>1.8335143001009999</v>
      </c>
      <c r="F222" s="200"/>
      <c r="G222" s="81"/>
      <c r="H222" s="173"/>
    </row>
    <row r="223" spans="1:10" ht="15.75" thickBot="1">
      <c r="A223" s="29" t="s">
        <v>359</v>
      </c>
      <c r="B223" s="30">
        <v>1</v>
      </c>
      <c r="C223" s="188">
        <v>16</v>
      </c>
      <c r="D223" s="31">
        <v>2</v>
      </c>
      <c r="E223" s="144">
        <f>322.233942/1000000</f>
        <v>3.2223394200000003E-4</v>
      </c>
      <c r="F223" s="198"/>
      <c r="G223" s="77"/>
      <c r="H223" s="172"/>
      <c r="J223" s="51"/>
    </row>
    <row r="224" spans="1:10" ht="16.5" thickTop="1" thickBot="1">
      <c r="A224" s="5" t="s">
        <v>50</v>
      </c>
      <c r="B224" s="27">
        <v>1</v>
      </c>
      <c r="C224" s="189">
        <v>17</v>
      </c>
      <c r="D224" s="28">
        <v>3</v>
      </c>
      <c r="E224" s="143">
        <f>46430154.274461/1000000</f>
        <v>46.430154274461003</v>
      </c>
      <c r="F224" s="201" t="s">
        <v>183</v>
      </c>
      <c r="G224" s="76"/>
      <c r="H224" s="170"/>
    </row>
    <row r="225" spans="1:10" ht="15.75" thickBot="1">
      <c r="A225" s="25" t="s">
        <v>54</v>
      </c>
      <c r="B225" s="11">
        <v>1</v>
      </c>
      <c r="C225" s="185">
        <v>18</v>
      </c>
      <c r="D225" s="12">
        <v>3</v>
      </c>
      <c r="E225" s="143">
        <f>30642024.933885/1000000</f>
        <v>30.642024933885001</v>
      </c>
      <c r="F225" s="202"/>
      <c r="G225" s="82">
        <v>1</v>
      </c>
      <c r="H225" s="145">
        <f>E234</f>
        <v>9.5375837898409994</v>
      </c>
    </row>
    <row r="226" spans="1:10" ht="15.75" thickBot="1">
      <c r="A226" s="25" t="s">
        <v>65</v>
      </c>
      <c r="B226" s="11">
        <v>0</v>
      </c>
      <c r="C226" s="185">
        <v>25</v>
      </c>
      <c r="D226" s="12">
        <v>5</v>
      </c>
      <c r="E226" s="143">
        <f>367137.806099/1000000</f>
        <v>0.36713780609899999</v>
      </c>
      <c r="F226" s="202"/>
      <c r="G226" s="81"/>
      <c r="H226" s="173"/>
    </row>
    <row r="227" spans="1:10" ht="15.75" thickBot="1">
      <c r="A227" s="25" t="s">
        <v>55</v>
      </c>
      <c r="B227" s="11">
        <v>1</v>
      </c>
      <c r="C227" s="185">
        <v>15</v>
      </c>
      <c r="D227" s="12">
        <v>2</v>
      </c>
      <c r="E227" s="143">
        <f>1703094.121149/1000000</f>
        <v>1.7030941211490001</v>
      </c>
      <c r="F227" s="202"/>
      <c r="G227" s="82">
        <v>2</v>
      </c>
      <c r="H227" s="145">
        <f>E227+E228</f>
        <v>1.7483687114599999</v>
      </c>
    </row>
    <row r="228" spans="1:10" ht="15.75" thickBot="1">
      <c r="A228" s="25" t="s">
        <v>343</v>
      </c>
      <c r="B228" s="11">
        <v>1</v>
      </c>
      <c r="C228" s="185">
        <v>16</v>
      </c>
      <c r="D228" s="12">
        <v>2</v>
      </c>
      <c r="E228" s="143">
        <f>45274.590311/1000000</f>
        <v>4.5274590311E-2</v>
      </c>
      <c r="F228" s="202"/>
      <c r="G228" s="81"/>
      <c r="H228" s="173"/>
      <c r="J228" s="51"/>
    </row>
    <row r="229" spans="1:10" ht="15.75" thickBot="1">
      <c r="A229" s="25" t="s">
        <v>83</v>
      </c>
      <c r="B229" s="11">
        <v>2</v>
      </c>
      <c r="C229" s="185">
        <v>19</v>
      </c>
      <c r="D229" s="12">
        <v>4</v>
      </c>
      <c r="E229" s="143">
        <f>33258214.63438/1000000</f>
        <v>33.258214634380003</v>
      </c>
      <c r="F229" s="202"/>
      <c r="G229" s="82">
        <v>3</v>
      </c>
      <c r="H229" s="145">
        <f>E224+E225+E230+E232+E235</f>
        <v>169.01661748270499</v>
      </c>
    </row>
    <row r="230" spans="1:10" ht="15.75" thickBot="1">
      <c r="A230" s="25" t="s">
        <v>135</v>
      </c>
      <c r="B230" s="11">
        <v>1</v>
      </c>
      <c r="C230" s="185">
        <v>17</v>
      </c>
      <c r="D230" s="12">
        <v>3</v>
      </c>
      <c r="E230" s="143">
        <f>66272.436145/1000000</f>
        <v>6.6272436145000002E-2</v>
      </c>
      <c r="F230" s="202"/>
      <c r="G230" s="81"/>
      <c r="H230" s="173"/>
    </row>
    <row r="231" spans="1:10" ht="15.75" thickBot="1">
      <c r="A231" s="25" t="s">
        <v>81</v>
      </c>
      <c r="B231" s="11">
        <v>2</v>
      </c>
      <c r="C231" s="185">
        <v>20</v>
      </c>
      <c r="D231" s="12">
        <v>4</v>
      </c>
      <c r="E231" s="143">
        <f>32449300.091591/1000000</f>
        <v>32.449300091590999</v>
      </c>
      <c r="F231" s="202"/>
      <c r="G231" s="82">
        <v>4</v>
      </c>
      <c r="H231" s="145">
        <f>E229+E231+E233</f>
        <v>81.817762883414005</v>
      </c>
    </row>
    <row r="232" spans="1:10" ht="15.75" thickBot="1">
      <c r="A232" s="25" t="s">
        <v>82</v>
      </c>
      <c r="B232" s="11">
        <v>2</v>
      </c>
      <c r="C232" s="185">
        <v>17</v>
      </c>
      <c r="D232" s="12">
        <v>3</v>
      </c>
      <c r="E232" s="143">
        <f>85182036.218442/1000000</f>
        <v>85.182036218441993</v>
      </c>
      <c r="F232" s="202"/>
      <c r="G232" s="81"/>
      <c r="H232" s="173"/>
    </row>
    <row r="233" spans="1:10" ht="15.75" thickBot="1">
      <c r="A233" s="25" t="s">
        <v>344</v>
      </c>
      <c r="B233" s="11">
        <v>1</v>
      </c>
      <c r="C233" s="185">
        <v>21</v>
      </c>
      <c r="D233" s="12">
        <v>4</v>
      </c>
      <c r="E233" s="143">
        <f>16110248.157443/1000000</f>
        <v>16.110248157442999</v>
      </c>
      <c r="F233" s="202"/>
      <c r="G233" s="82">
        <v>5</v>
      </c>
      <c r="H233" s="145">
        <f>E226</f>
        <v>0.36713780609899999</v>
      </c>
    </row>
    <row r="234" spans="1:10">
      <c r="A234" s="25" t="s">
        <v>345</v>
      </c>
      <c r="B234" s="11">
        <v>1</v>
      </c>
      <c r="C234" s="185">
        <v>13</v>
      </c>
      <c r="D234" s="12">
        <v>1</v>
      </c>
      <c r="E234" s="143">
        <f>9537583.789841/1000000</f>
        <v>9.5375837898409994</v>
      </c>
      <c r="F234" s="202"/>
      <c r="G234" s="81"/>
      <c r="H234" s="173"/>
    </row>
    <row r="235" spans="1:10" ht="15.75" thickBot="1">
      <c r="A235" s="29" t="s">
        <v>373</v>
      </c>
      <c r="B235" s="30">
        <v>0</v>
      </c>
      <c r="C235" s="188">
        <v>19</v>
      </c>
      <c r="D235" s="21">
        <v>3</v>
      </c>
      <c r="E235" s="144">
        <f>6696129.619772/1000000</f>
        <v>6.6961296197719999</v>
      </c>
      <c r="F235" s="203"/>
      <c r="G235" s="77"/>
      <c r="H235" s="172"/>
    </row>
    <row r="236" spans="1:10" ht="16.5" thickTop="1" thickBot="1">
      <c r="A236" s="5" t="s">
        <v>366</v>
      </c>
      <c r="B236" s="27">
        <v>1</v>
      </c>
      <c r="C236" s="189">
        <v>21</v>
      </c>
      <c r="D236" s="22">
        <v>4</v>
      </c>
      <c r="E236" s="143">
        <f>42028530.249706/1000000</f>
        <v>42.028530249706002</v>
      </c>
      <c r="F236" s="196" t="s">
        <v>184</v>
      </c>
      <c r="G236" s="76"/>
      <c r="H236" s="170"/>
    </row>
    <row r="237" spans="1:10" ht="15.75" thickBot="1">
      <c r="A237" s="25" t="s">
        <v>374</v>
      </c>
      <c r="B237" s="11">
        <v>2</v>
      </c>
      <c r="C237" s="185">
        <v>15</v>
      </c>
      <c r="D237" s="12">
        <v>2</v>
      </c>
      <c r="E237" s="143">
        <f>115548680.271245/1000000</f>
        <v>115.548680271245</v>
      </c>
      <c r="F237" s="197"/>
      <c r="G237" s="82">
        <v>2</v>
      </c>
      <c r="H237" s="145">
        <f>E237+E240</f>
        <v>125.79972444839801</v>
      </c>
    </row>
    <row r="238" spans="1:10" ht="15.75" thickBot="1">
      <c r="A238" s="25" t="s">
        <v>371</v>
      </c>
      <c r="B238" s="11">
        <v>2</v>
      </c>
      <c r="C238" s="185">
        <v>21</v>
      </c>
      <c r="D238" s="12">
        <v>4</v>
      </c>
      <c r="E238" s="143">
        <f>10399453.040897/1000000</f>
        <v>10.399453040897001</v>
      </c>
      <c r="F238" s="197"/>
      <c r="G238" s="81"/>
      <c r="H238" s="173"/>
      <c r="J238" s="51"/>
    </row>
    <row r="239" spans="1:10" ht="15.75" thickBot="1">
      <c r="A239" s="25" t="s">
        <v>93</v>
      </c>
      <c r="B239" s="11">
        <v>1</v>
      </c>
      <c r="C239" s="185">
        <v>20</v>
      </c>
      <c r="D239" s="12">
        <v>4</v>
      </c>
      <c r="E239" s="143">
        <f>884038.563204/1000000</f>
        <v>0.88403856320399998</v>
      </c>
      <c r="F239" s="197"/>
      <c r="G239" s="82">
        <v>3</v>
      </c>
      <c r="H239" s="145">
        <f>E241</f>
        <v>0.14776872525099999</v>
      </c>
    </row>
    <row r="240" spans="1:10" ht="15.75" thickBot="1">
      <c r="A240" s="25" t="s">
        <v>84</v>
      </c>
      <c r="B240" s="11">
        <v>1</v>
      </c>
      <c r="C240" s="185">
        <v>15</v>
      </c>
      <c r="D240" s="12">
        <v>2</v>
      </c>
      <c r="E240" s="143">
        <f>10251044.177153/1000000</f>
        <v>10.251044177153</v>
      </c>
      <c r="F240" s="197"/>
      <c r="G240" s="81"/>
      <c r="H240" s="173"/>
    </row>
    <row r="241" spans="1:10" ht="15.75" thickBot="1">
      <c r="A241" s="25" t="s">
        <v>71</v>
      </c>
      <c r="B241" s="11">
        <v>1</v>
      </c>
      <c r="C241" s="185">
        <v>17</v>
      </c>
      <c r="D241" s="12">
        <v>3</v>
      </c>
      <c r="E241" s="143">
        <f>147768.725251/1000000</f>
        <v>0.14776872525099999</v>
      </c>
      <c r="F241" s="197"/>
      <c r="G241" s="82">
        <v>4</v>
      </c>
      <c r="H241" s="145">
        <f>E236+E238+E239+E242</f>
        <v>64.298852985357001</v>
      </c>
    </row>
    <row r="242" spans="1:10" ht="15.75" thickBot="1">
      <c r="A242" s="29" t="s">
        <v>68</v>
      </c>
      <c r="B242" s="30">
        <v>2</v>
      </c>
      <c r="C242" s="188">
        <v>20</v>
      </c>
      <c r="D242" s="31">
        <v>4</v>
      </c>
      <c r="E242" s="144">
        <f>10986831.13155/1000000</f>
        <v>10.98683113155</v>
      </c>
      <c r="F242" s="198"/>
      <c r="G242" s="77"/>
      <c r="H242" s="172"/>
    </row>
    <row r="243" spans="1:10" ht="16.5" thickTop="1" thickBot="1">
      <c r="A243" s="5" t="s">
        <v>133</v>
      </c>
      <c r="B243" s="27">
        <v>1</v>
      </c>
      <c r="C243" s="189">
        <v>19</v>
      </c>
      <c r="D243" s="28">
        <v>3</v>
      </c>
      <c r="E243" s="143">
        <f>529756.505317/1000000</f>
        <v>0.52975650531700003</v>
      </c>
      <c r="F243" s="196" t="s">
        <v>185</v>
      </c>
      <c r="G243" s="76"/>
      <c r="H243" s="170"/>
    </row>
    <row r="244" spans="1:10" ht="15.75" thickBot="1">
      <c r="A244" s="25" t="s">
        <v>370</v>
      </c>
      <c r="B244" s="11">
        <v>1</v>
      </c>
      <c r="C244" s="185">
        <v>21</v>
      </c>
      <c r="D244" s="12">
        <v>4</v>
      </c>
      <c r="E244" s="143">
        <f>21634239.961098/1000000</f>
        <v>21.634239961098</v>
      </c>
      <c r="F244" s="197"/>
      <c r="G244" s="82">
        <v>2</v>
      </c>
      <c r="H244" s="145">
        <f>E245+E250+E251</f>
        <v>16.498145186500999</v>
      </c>
    </row>
    <row r="245" spans="1:10" ht="15.75" thickBot="1">
      <c r="A245" s="25" t="s">
        <v>122</v>
      </c>
      <c r="B245" s="11">
        <v>1</v>
      </c>
      <c r="C245" s="185">
        <v>15</v>
      </c>
      <c r="D245" s="12">
        <v>2</v>
      </c>
      <c r="E245" s="143">
        <f>164400.113212/1000000</f>
        <v>0.16440011321199999</v>
      </c>
      <c r="F245" s="197"/>
      <c r="G245" s="81"/>
      <c r="H245" s="173"/>
      <c r="J245" s="51"/>
    </row>
    <row r="246" spans="1:10" ht="15.75" thickBot="1">
      <c r="A246" s="25" t="s">
        <v>131</v>
      </c>
      <c r="B246" s="11">
        <v>2</v>
      </c>
      <c r="C246" s="185">
        <v>16</v>
      </c>
      <c r="D246" s="12">
        <v>3</v>
      </c>
      <c r="E246" s="143">
        <f>1534.650774/1000000</f>
        <v>1.534650774E-3</v>
      </c>
      <c r="F246" s="197"/>
      <c r="G246" s="82">
        <v>3</v>
      </c>
      <c r="H246" s="145">
        <f>E243+E246+E249</f>
        <v>22.967185339313001</v>
      </c>
      <c r="J246" s="51"/>
    </row>
    <row r="247" spans="1:10" ht="15.75" thickBot="1">
      <c r="A247" s="25" t="s">
        <v>85</v>
      </c>
      <c r="B247" s="11">
        <v>1</v>
      </c>
      <c r="C247" s="185">
        <v>20</v>
      </c>
      <c r="D247" s="12">
        <v>4</v>
      </c>
      <c r="E247" s="143">
        <f>22305949.201768/1000000</f>
        <v>22.305949201768001</v>
      </c>
      <c r="F247" s="197"/>
      <c r="G247" s="81"/>
      <c r="H247" s="173"/>
      <c r="J247" s="51"/>
    </row>
    <row r="248" spans="1:10" ht="15.75" thickBot="1">
      <c r="A248" s="25" t="s">
        <v>86</v>
      </c>
      <c r="B248" s="11">
        <v>2</v>
      </c>
      <c r="C248" s="185">
        <v>22</v>
      </c>
      <c r="D248" s="12">
        <v>5</v>
      </c>
      <c r="E248" s="143">
        <f>31817358.196757/1000000</f>
        <v>31.817358196756999</v>
      </c>
      <c r="F248" s="197"/>
      <c r="G248" s="82">
        <v>4</v>
      </c>
      <c r="H248" s="145">
        <f>E247+E244</f>
        <v>43.940189162866005</v>
      </c>
      <c r="J248" s="51"/>
    </row>
    <row r="249" spans="1:10" ht="15.75" thickBot="1">
      <c r="A249" s="25" t="s">
        <v>87</v>
      </c>
      <c r="B249" s="11">
        <v>1</v>
      </c>
      <c r="C249" s="185">
        <v>17</v>
      </c>
      <c r="D249" s="12">
        <v>3</v>
      </c>
      <c r="E249" s="143">
        <f>22435894.183222/1000000</f>
        <v>22.435894183222</v>
      </c>
      <c r="F249" s="197"/>
      <c r="G249" s="81"/>
      <c r="H249" s="173"/>
    </row>
    <row r="250" spans="1:10" ht="15.75" thickBot="1">
      <c r="A250" s="25" t="s">
        <v>88</v>
      </c>
      <c r="B250" s="11">
        <v>1</v>
      </c>
      <c r="C250" s="185">
        <v>15</v>
      </c>
      <c r="D250" s="12">
        <v>2</v>
      </c>
      <c r="E250" s="143">
        <f>14812238.982088/1000000</f>
        <v>14.812238982087999</v>
      </c>
      <c r="F250" s="197"/>
      <c r="G250" s="82">
        <v>5</v>
      </c>
      <c r="H250" s="145">
        <f>E248</f>
        <v>31.817358196756999</v>
      </c>
    </row>
    <row r="251" spans="1:10" ht="15.75" thickBot="1">
      <c r="A251" s="29" t="s">
        <v>375</v>
      </c>
      <c r="B251" s="30">
        <v>1</v>
      </c>
      <c r="C251" s="188">
        <v>16</v>
      </c>
      <c r="D251" s="31">
        <v>2</v>
      </c>
      <c r="E251" s="144">
        <f>1521506.091201/1000000</f>
        <v>1.5215060912009999</v>
      </c>
      <c r="F251" s="198"/>
      <c r="G251" s="77"/>
      <c r="H251" s="172"/>
    </row>
    <row r="252" spans="1:10" ht="15.75" thickTop="1">
      <c r="A252" s="5" t="s">
        <v>349</v>
      </c>
      <c r="B252" s="27">
        <v>1</v>
      </c>
      <c r="C252" s="189">
        <v>12</v>
      </c>
      <c r="D252" s="28">
        <v>1</v>
      </c>
      <c r="E252" s="143">
        <f>48165649.231684/1000000</f>
        <v>48.165649231684</v>
      </c>
      <c r="F252" s="196" t="s">
        <v>186</v>
      </c>
      <c r="G252" s="76"/>
      <c r="H252" s="170"/>
    </row>
    <row r="253" spans="1:10" ht="15.75" thickBot="1">
      <c r="A253" s="25" t="s">
        <v>91</v>
      </c>
      <c r="B253" s="11">
        <v>1</v>
      </c>
      <c r="C253" s="185">
        <v>18</v>
      </c>
      <c r="D253" s="12">
        <v>3</v>
      </c>
      <c r="E253" s="143">
        <f>79850606.439661/1000000</f>
        <v>79.850606439660993</v>
      </c>
      <c r="F253" s="197"/>
      <c r="G253" s="81"/>
      <c r="H253" s="173"/>
    </row>
    <row r="254" spans="1:10" ht="15.75" thickBot="1">
      <c r="A254" s="25" t="s">
        <v>333</v>
      </c>
      <c r="B254" s="11">
        <v>1</v>
      </c>
      <c r="C254" s="185">
        <v>16</v>
      </c>
      <c r="D254" s="12">
        <v>2</v>
      </c>
      <c r="E254" s="143">
        <f>238897.319259/1000000</f>
        <v>0.23889731925900001</v>
      </c>
      <c r="F254" s="197"/>
      <c r="G254" s="82">
        <v>1</v>
      </c>
      <c r="H254" s="145">
        <f>E252+E255</f>
        <v>68.841709135198997</v>
      </c>
      <c r="J254" s="51"/>
    </row>
    <row r="255" spans="1:10">
      <c r="A255" s="25" t="s">
        <v>341</v>
      </c>
      <c r="B255" s="11">
        <v>1</v>
      </c>
      <c r="C255" s="185">
        <v>13</v>
      </c>
      <c r="D255" s="12">
        <v>1</v>
      </c>
      <c r="E255" s="143">
        <f>20676059.903515/1000000</f>
        <v>20.676059903515</v>
      </c>
      <c r="F255" s="197"/>
      <c r="G255" s="81"/>
      <c r="H255" s="173"/>
    </row>
    <row r="256" spans="1:10" ht="15.75" thickBot="1">
      <c r="A256" s="25" t="s">
        <v>332</v>
      </c>
      <c r="B256" s="11">
        <v>1</v>
      </c>
      <c r="C256" s="185">
        <v>19</v>
      </c>
      <c r="D256" s="12">
        <v>3</v>
      </c>
      <c r="E256" s="143">
        <f>218550.93529/1000000</f>
        <v>0.21855093529</v>
      </c>
      <c r="F256" s="197"/>
      <c r="G256" s="81"/>
      <c r="H256" s="173"/>
    </row>
    <row r="257" spans="1:10" ht="15.75" thickBot="1">
      <c r="A257" s="25" t="s">
        <v>376</v>
      </c>
      <c r="B257" s="11">
        <v>1</v>
      </c>
      <c r="C257" s="185">
        <v>19</v>
      </c>
      <c r="D257" s="12">
        <v>3</v>
      </c>
      <c r="E257" s="143">
        <f>50069790.132056/1000000</f>
        <v>50.069790132055999</v>
      </c>
      <c r="F257" s="197"/>
      <c r="G257" s="82">
        <v>2</v>
      </c>
      <c r="H257" s="145">
        <f>E254+E259+E263+E266</f>
        <v>72.684035839203005</v>
      </c>
    </row>
    <row r="258" spans="1:10">
      <c r="A258" s="25" t="s">
        <v>90</v>
      </c>
      <c r="B258" s="11">
        <v>1</v>
      </c>
      <c r="C258" s="185">
        <v>17</v>
      </c>
      <c r="D258" s="12">
        <v>3</v>
      </c>
      <c r="E258" s="143">
        <f>47656240.728801/1000000</f>
        <v>47.656240728800995</v>
      </c>
      <c r="F258" s="197"/>
      <c r="G258" s="81"/>
      <c r="H258" s="173"/>
    </row>
    <row r="259" spans="1:10" ht="15.75" thickBot="1">
      <c r="A259" s="25" t="s">
        <v>89</v>
      </c>
      <c r="B259" s="11">
        <v>1</v>
      </c>
      <c r="C259" s="185">
        <v>14</v>
      </c>
      <c r="D259" s="12">
        <v>2</v>
      </c>
      <c r="E259" s="143">
        <f>45826257.924836/1000000</f>
        <v>45.826257924836</v>
      </c>
      <c r="F259" s="197"/>
      <c r="G259" s="81"/>
      <c r="H259" s="173"/>
    </row>
    <row r="260" spans="1:10" ht="15.75" thickBot="1">
      <c r="A260" s="25" t="s">
        <v>351</v>
      </c>
      <c r="B260" s="11">
        <v>1</v>
      </c>
      <c r="C260" s="185">
        <v>22</v>
      </c>
      <c r="D260" s="12">
        <v>4</v>
      </c>
      <c r="E260" s="143">
        <f>100755.460066/1000000</f>
        <v>0.100755460066</v>
      </c>
      <c r="F260" s="197"/>
      <c r="G260" s="82">
        <v>3</v>
      </c>
      <c r="H260" s="145">
        <f>E253+E256+E257+E258</f>
        <v>177.79518823580798</v>
      </c>
    </row>
    <row r="261" spans="1:10">
      <c r="A261" s="25" t="s">
        <v>147</v>
      </c>
      <c r="B261" s="11">
        <v>2</v>
      </c>
      <c r="C261" s="185">
        <v>20</v>
      </c>
      <c r="D261" s="12">
        <v>4</v>
      </c>
      <c r="E261" s="143">
        <f>505083.999167/1000000</f>
        <v>0.50508399916699998</v>
      </c>
      <c r="F261" s="197"/>
      <c r="G261" s="81"/>
      <c r="H261" s="173"/>
    </row>
    <row r="262" spans="1:10" ht="15.75" thickBot="1">
      <c r="A262" s="25" t="s">
        <v>52</v>
      </c>
      <c r="B262" s="11">
        <v>2</v>
      </c>
      <c r="C262" s="185">
        <v>19</v>
      </c>
      <c r="D262" s="12">
        <v>4</v>
      </c>
      <c r="E262" s="143">
        <f>272921.657704/1000000</f>
        <v>0.27292165770400001</v>
      </c>
      <c r="F262" s="197"/>
      <c r="G262" s="81"/>
      <c r="H262" s="173"/>
    </row>
    <row r="263" spans="1:10" ht="15.75" thickBot="1">
      <c r="A263" s="25" t="s">
        <v>92</v>
      </c>
      <c r="B263" s="11">
        <v>1</v>
      </c>
      <c r="C263" s="185">
        <v>15</v>
      </c>
      <c r="D263" s="12">
        <v>2</v>
      </c>
      <c r="E263" s="143">
        <f>26278390.482233/1000000</f>
        <v>26.278390482233</v>
      </c>
      <c r="F263" s="197"/>
      <c r="G263" s="82">
        <v>4</v>
      </c>
      <c r="H263" s="145">
        <f>E260+E261+E262+E264+E265+E268+E269</f>
        <v>2.9416309184620002</v>
      </c>
    </row>
    <row r="264" spans="1:10">
      <c r="A264" s="25" t="s">
        <v>107</v>
      </c>
      <c r="B264" s="11">
        <v>2</v>
      </c>
      <c r="C264" s="185">
        <v>20</v>
      </c>
      <c r="D264" s="12">
        <v>4</v>
      </c>
      <c r="E264" s="143">
        <f>977360.595038/1000000</f>
        <v>0.97736059503799999</v>
      </c>
      <c r="F264" s="197"/>
      <c r="G264" s="81"/>
      <c r="H264" s="173"/>
    </row>
    <row r="265" spans="1:10" ht="15.75" thickBot="1">
      <c r="A265" s="25" t="s">
        <v>377</v>
      </c>
      <c r="B265" s="11">
        <v>1</v>
      </c>
      <c r="C265" s="185">
        <v>21</v>
      </c>
      <c r="D265" s="12">
        <v>4</v>
      </c>
      <c r="E265" s="143">
        <f>451782.400604/1000000</f>
        <v>0.45178240060400005</v>
      </c>
      <c r="F265" s="197"/>
      <c r="G265" s="81"/>
      <c r="H265" s="173"/>
    </row>
    <row r="266" spans="1:10" ht="15.75" thickBot="1">
      <c r="A266" s="25" t="s">
        <v>101</v>
      </c>
      <c r="B266" s="11">
        <v>1</v>
      </c>
      <c r="C266" s="185">
        <v>15</v>
      </c>
      <c r="D266" s="12">
        <v>2</v>
      </c>
      <c r="E266" s="143">
        <f>340490.112875/1000000</f>
        <v>0.34049011287499997</v>
      </c>
      <c r="F266" s="197"/>
      <c r="G266" s="82">
        <v>5</v>
      </c>
      <c r="H266" s="145">
        <f>E267</f>
        <v>3.8963977999999995E-5</v>
      </c>
    </row>
    <row r="267" spans="1:10">
      <c r="A267" s="25" t="s">
        <v>36</v>
      </c>
      <c r="B267" s="11">
        <v>1</v>
      </c>
      <c r="C267" s="185">
        <v>23</v>
      </c>
      <c r="D267" s="12">
        <v>5</v>
      </c>
      <c r="E267" s="143">
        <f>38.963978/1000000</f>
        <v>3.8963977999999995E-5</v>
      </c>
      <c r="F267" s="197"/>
      <c r="G267" s="81"/>
      <c r="H267" s="173"/>
    </row>
    <row r="268" spans="1:10">
      <c r="A268" s="25" t="s">
        <v>60</v>
      </c>
      <c r="B268" s="11">
        <v>3</v>
      </c>
      <c r="C268" s="185">
        <v>19</v>
      </c>
      <c r="D268" s="12">
        <v>4</v>
      </c>
      <c r="E268" s="143">
        <f>316593.582296/1000000</f>
        <v>0.31659358229599999</v>
      </c>
      <c r="F268" s="197"/>
      <c r="G268" s="81"/>
      <c r="H268" s="173"/>
    </row>
    <row r="269" spans="1:10" ht="15.75" thickBot="1">
      <c r="A269" s="29" t="s">
        <v>103</v>
      </c>
      <c r="B269" s="30">
        <v>3</v>
      </c>
      <c r="C269" s="188">
        <v>19</v>
      </c>
      <c r="D269" s="31">
        <v>4</v>
      </c>
      <c r="E269" s="144">
        <f>317133.223587/1000000</f>
        <v>0.31713322358699997</v>
      </c>
      <c r="F269" s="198"/>
      <c r="G269" s="77"/>
      <c r="H269" s="172"/>
    </row>
    <row r="270" spans="1:10" ht="16.5" thickTop="1" thickBot="1">
      <c r="A270" s="5" t="s">
        <v>374</v>
      </c>
      <c r="B270" s="27">
        <v>2</v>
      </c>
      <c r="C270" s="189">
        <v>15</v>
      </c>
      <c r="D270" s="28">
        <v>2</v>
      </c>
      <c r="E270" s="143">
        <f>26332668.627442/1000000</f>
        <v>26.332668627441997</v>
      </c>
      <c r="F270" s="196" t="s">
        <v>187</v>
      </c>
      <c r="G270" s="76"/>
      <c r="H270" s="170"/>
    </row>
    <row r="271" spans="1:10" ht="15.75" thickBot="1">
      <c r="A271" s="25" t="s">
        <v>93</v>
      </c>
      <c r="B271" s="11">
        <v>1</v>
      </c>
      <c r="C271" s="185">
        <v>20</v>
      </c>
      <c r="D271" s="12">
        <v>4</v>
      </c>
      <c r="E271" s="143">
        <f>156446528.640798/1000000</f>
        <v>156.44652864079799</v>
      </c>
      <c r="F271" s="197"/>
      <c r="G271" s="82">
        <v>1</v>
      </c>
      <c r="H271" s="145">
        <f>E272</f>
        <v>0.23244405520299999</v>
      </c>
    </row>
    <row r="272" spans="1:10" ht="15.75" thickBot="1">
      <c r="A272" s="25" t="s">
        <v>329</v>
      </c>
      <c r="B272" s="11">
        <v>1</v>
      </c>
      <c r="C272" s="185">
        <v>11</v>
      </c>
      <c r="D272" s="12">
        <v>1</v>
      </c>
      <c r="E272" s="143">
        <f>232444.055203/1000000</f>
        <v>0.23244405520299999</v>
      </c>
      <c r="F272" s="197"/>
      <c r="G272" s="82">
        <v>2</v>
      </c>
      <c r="H272" s="145">
        <f>E270+E276</f>
        <v>36.867249205293994</v>
      </c>
      <c r="J272" s="51"/>
    </row>
    <row r="273" spans="1:10" ht="15.75" thickBot="1">
      <c r="A273" s="25" t="s">
        <v>26</v>
      </c>
      <c r="B273" s="11">
        <v>2</v>
      </c>
      <c r="C273" s="185">
        <v>16</v>
      </c>
      <c r="D273" s="12">
        <v>3</v>
      </c>
      <c r="E273" s="143">
        <f>25577048.683024/1000000</f>
        <v>25.577048683024</v>
      </c>
      <c r="F273" s="197"/>
      <c r="G273" s="82">
        <v>3</v>
      </c>
      <c r="H273" s="145">
        <f>E273+E274</f>
        <v>105.35923069337201</v>
      </c>
    </row>
    <row r="274" spans="1:10" ht="15.75" thickBot="1">
      <c r="A274" s="25" t="s">
        <v>71</v>
      </c>
      <c r="B274" s="11">
        <v>1</v>
      </c>
      <c r="C274" s="185">
        <v>17</v>
      </c>
      <c r="D274" s="12">
        <v>3</v>
      </c>
      <c r="E274" s="143">
        <f>79782182.010348/1000000</f>
        <v>79.782182010348009</v>
      </c>
      <c r="F274" s="197"/>
      <c r="G274" s="82">
        <v>4</v>
      </c>
      <c r="H274" s="145">
        <f>E271+E275</f>
        <v>158.01047830239798</v>
      </c>
    </row>
    <row r="275" spans="1:10">
      <c r="A275" s="25" t="s">
        <v>68</v>
      </c>
      <c r="B275" s="11">
        <v>2</v>
      </c>
      <c r="C275" s="185">
        <v>20</v>
      </c>
      <c r="D275" s="12">
        <v>4</v>
      </c>
      <c r="E275" s="143">
        <f>1563949.6616/1000000</f>
        <v>1.5639496615999999</v>
      </c>
      <c r="F275" s="197"/>
      <c r="G275" s="81"/>
      <c r="H275" s="173"/>
    </row>
    <row r="276" spans="1:10" ht="15.75" thickBot="1">
      <c r="A276" s="29" t="s">
        <v>67</v>
      </c>
      <c r="B276" s="30">
        <v>1</v>
      </c>
      <c r="C276" s="188">
        <v>14</v>
      </c>
      <c r="D276" s="31">
        <v>2</v>
      </c>
      <c r="E276" s="144">
        <f>10534580.577852/1000000</f>
        <v>10.534580577851999</v>
      </c>
      <c r="F276" s="198"/>
      <c r="G276" s="77"/>
      <c r="H276" s="172"/>
    </row>
    <row r="277" spans="1:10" ht="16.5" thickTop="1" thickBot="1">
      <c r="A277" s="5" t="s">
        <v>343</v>
      </c>
      <c r="B277" s="27">
        <v>1</v>
      </c>
      <c r="C277" s="189">
        <v>16</v>
      </c>
      <c r="D277" s="28">
        <v>2</v>
      </c>
      <c r="E277" s="143">
        <f>4704494.584336/1000000</f>
        <v>4.7044945843359995</v>
      </c>
      <c r="F277" s="229" t="s">
        <v>188</v>
      </c>
      <c r="G277" s="82">
        <v>2</v>
      </c>
      <c r="H277" s="145">
        <f>E277</f>
        <v>4.7044945843359995</v>
      </c>
    </row>
    <row r="278" spans="1:10" ht="15.75" thickBot="1">
      <c r="A278" s="3" t="s">
        <v>83</v>
      </c>
      <c r="B278" s="11">
        <v>2</v>
      </c>
      <c r="C278" s="185">
        <v>19</v>
      </c>
      <c r="D278" s="12">
        <v>4</v>
      </c>
      <c r="E278" s="143">
        <f>62918614.684417/1000000</f>
        <v>62.918614684417001</v>
      </c>
      <c r="F278" s="200"/>
      <c r="G278" s="82">
        <v>3</v>
      </c>
      <c r="H278" s="145">
        <f>E279</f>
        <v>0.115945357764</v>
      </c>
      <c r="J278" s="51"/>
    </row>
    <row r="279" spans="1:10" ht="15.75" thickBot="1">
      <c r="A279" s="29" t="s">
        <v>135</v>
      </c>
      <c r="B279" s="30">
        <v>1</v>
      </c>
      <c r="C279" s="188">
        <v>17</v>
      </c>
      <c r="D279" s="31">
        <v>3</v>
      </c>
      <c r="E279" s="144">
        <f>115945.357764/1000000</f>
        <v>0.115945357764</v>
      </c>
      <c r="F279" s="213"/>
      <c r="G279" s="82">
        <v>4</v>
      </c>
      <c r="H279" s="172">
        <f>E278</f>
        <v>62.918614684417001</v>
      </c>
    </row>
    <row r="280" spans="1:10" ht="16.5" thickTop="1" thickBot="1">
      <c r="A280" s="5" t="s">
        <v>94</v>
      </c>
      <c r="B280" s="27">
        <v>3</v>
      </c>
      <c r="C280" s="189">
        <v>16</v>
      </c>
      <c r="D280" s="28">
        <v>3</v>
      </c>
      <c r="E280" s="143">
        <f>16505810.563851/1000000</f>
        <v>16.505810563851</v>
      </c>
      <c r="F280" s="230" t="s">
        <v>189</v>
      </c>
      <c r="G280" s="76"/>
      <c r="H280" s="170"/>
    </row>
    <row r="281" spans="1:10" ht="15.75" thickBot="1">
      <c r="A281" s="3" t="s">
        <v>356</v>
      </c>
      <c r="B281" s="11">
        <v>0</v>
      </c>
      <c r="C281" s="185">
        <v>16</v>
      </c>
      <c r="D281" s="12">
        <v>2</v>
      </c>
      <c r="E281" s="143">
        <f>10540733.825637/1000000</f>
        <v>10.540733825637</v>
      </c>
      <c r="F281" s="231"/>
      <c r="G281" s="82">
        <v>1</v>
      </c>
      <c r="H281" s="145">
        <f>E286</f>
        <v>83.361274838637996</v>
      </c>
      <c r="J281" s="51"/>
    </row>
    <row r="282" spans="1:10" ht="15.75" thickBot="1">
      <c r="A282" s="3" t="s">
        <v>378</v>
      </c>
      <c r="B282" s="11">
        <v>1</v>
      </c>
      <c r="C282" s="185">
        <v>21</v>
      </c>
      <c r="D282" s="12">
        <v>4</v>
      </c>
      <c r="E282" s="143">
        <f>8256.530753/1000000</f>
        <v>8.2565307529999989E-3</v>
      </c>
      <c r="F282" s="231"/>
      <c r="G282" s="81"/>
      <c r="H282" s="173"/>
      <c r="J282" s="51"/>
    </row>
    <row r="283" spans="1:10" ht="15.75" thickBot="1">
      <c r="A283" s="3" t="s">
        <v>55</v>
      </c>
      <c r="B283" s="11">
        <v>1</v>
      </c>
      <c r="C283" s="185">
        <v>15</v>
      </c>
      <c r="D283" s="12">
        <v>2</v>
      </c>
      <c r="E283" s="143">
        <f>10441061.815541/1000000</f>
        <v>10.441061815541</v>
      </c>
      <c r="F283" s="231"/>
      <c r="G283" s="82">
        <v>2</v>
      </c>
      <c r="H283" s="145">
        <f>E281+E283+E284</f>
        <v>21.08399593459</v>
      </c>
      <c r="J283" s="51"/>
    </row>
    <row r="284" spans="1:10" ht="15.75" thickBot="1">
      <c r="A284" s="3" t="s">
        <v>343</v>
      </c>
      <c r="B284" s="11">
        <v>1</v>
      </c>
      <c r="C284" s="185">
        <v>16</v>
      </c>
      <c r="D284" s="12">
        <v>2</v>
      </c>
      <c r="E284" s="143">
        <f>102200.293412/1000000</f>
        <v>0.102200293412</v>
      </c>
      <c r="F284" s="231"/>
      <c r="G284" s="81"/>
      <c r="H284" s="173"/>
      <c r="J284" s="51"/>
    </row>
    <row r="285" spans="1:10" ht="15.75" thickBot="1">
      <c r="A285" s="3" t="s">
        <v>344</v>
      </c>
      <c r="B285" s="11">
        <v>1</v>
      </c>
      <c r="C285" s="185">
        <v>21</v>
      </c>
      <c r="D285" s="12">
        <v>4</v>
      </c>
      <c r="E285" s="143">
        <f>12526606.875474/1000000</f>
        <v>12.526606875474</v>
      </c>
      <c r="F285" s="231"/>
      <c r="G285" s="82">
        <v>3</v>
      </c>
      <c r="H285" s="145">
        <f>E280+E289</f>
        <v>17.667147248444</v>
      </c>
      <c r="J285" s="51"/>
    </row>
    <row r="286" spans="1:10" ht="15.75" thickBot="1">
      <c r="A286" s="3" t="s">
        <v>345</v>
      </c>
      <c r="B286" s="11">
        <v>1</v>
      </c>
      <c r="C286" s="185">
        <v>13</v>
      </c>
      <c r="D286" s="12">
        <v>1</v>
      </c>
      <c r="E286" s="143">
        <f>83361274.838638/1000000</f>
        <v>83.361274838637996</v>
      </c>
      <c r="F286" s="231"/>
      <c r="G286" s="81"/>
      <c r="H286" s="173"/>
      <c r="J286" s="51"/>
    </row>
    <row r="287" spans="1:10" ht="15.75" thickBot="1">
      <c r="A287" s="3" t="s">
        <v>45</v>
      </c>
      <c r="B287" s="11">
        <v>2</v>
      </c>
      <c r="C287" s="185">
        <v>23</v>
      </c>
      <c r="D287" s="12">
        <v>5</v>
      </c>
      <c r="E287" s="143">
        <f>21735962.336973/1000000</f>
        <v>21.735962336973</v>
      </c>
      <c r="F287" s="231"/>
      <c r="G287" s="82">
        <v>4</v>
      </c>
      <c r="H287" s="145">
        <f>E282+E285+E288</f>
        <v>57.032597312367002</v>
      </c>
      <c r="J287" s="51"/>
    </row>
    <row r="288" spans="1:10" ht="15.75" thickBot="1">
      <c r="A288" s="3" t="s">
        <v>95</v>
      </c>
      <c r="B288" s="11">
        <v>2</v>
      </c>
      <c r="C288" s="185">
        <v>19</v>
      </c>
      <c r="D288" s="12">
        <v>4</v>
      </c>
      <c r="E288" s="143">
        <f>44497733.90614/1000000</f>
        <v>44.497733906139999</v>
      </c>
      <c r="F288" s="231"/>
      <c r="G288" s="81"/>
      <c r="H288" s="173"/>
    </row>
    <row r="289" spans="1:10" ht="15.75" thickBot="1">
      <c r="A289" s="29" t="s">
        <v>44</v>
      </c>
      <c r="B289" s="30">
        <v>2</v>
      </c>
      <c r="C289" s="188">
        <v>17</v>
      </c>
      <c r="D289" s="31">
        <v>3</v>
      </c>
      <c r="E289" s="144">
        <f>1161336.684593/1000000</f>
        <v>1.161336684593</v>
      </c>
      <c r="F289" s="228"/>
      <c r="G289" s="82">
        <v>5</v>
      </c>
      <c r="H289" s="145">
        <f>E287</f>
        <v>21.735962336973</v>
      </c>
    </row>
    <row r="290" spans="1:10" ht="16.5" thickTop="1" thickBot="1">
      <c r="A290" s="5" t="s">
        <v>57</v>
      </c>
      <c r="B290" s="27">
        <v>1</v>
      </c>
      <c r="C290" s="189">
        <v>15</v>
      </c>
      <c r="D290" s="12">
        <v>2</v>
      </c>
      <c r="E290" s="143">
        <f>3295.424596/1000000</f>
        <v>3.2954245959999997E-3</v>
      </c>
      <c r="F290" s="196" t="s">
        <v>190</v>
      </c>
      <c r="G290" s="76"/>
      <c r="H290" s="170"/>
    </row>
    <row r="291" spans="1:10" ht="15.75" thickBot="1">
      <c r="A291" s="3" t="s">
        <v>350</v>
      </c>
      <c r="B291" s="11">
        <v>1</v>
      </c>
      <c r="C291" s="185">
        <v>16</v>
      </c>
      <c r="D291" s="12">
        <v>2</v>
      </c>
      <c r="E291" s="143">
        <f>29519292.504829/1000000</f>
        <v>29.519292504829</v>
      </c>
      <c r="F291" s="197"/>
      <c r="G291" s="82">
        <v>2</v>
      </c>
      <c r="H291" s="145">
        <f>E290+E291+E299</f>
        <v>44.35278477976</v>
      </c>
    </row>
    <row r="292" spans="1:10" ht="15.75" thickBot="1">
      <c r="A292" s="3" t="s">
        <v>22</v>
      </c>
      <c r="B292" s="11">
        <v>4</v>
      </c>
      <c r="C292" s="185">
        <v>16</v>
      </c>
      <c r="D292" s="12">
        <v>3</v>
      </c>
      <c r="E292" s="143">
        <f>17070394.204404/1000000</f>
        <v>17.070394204404</v>
      </c>
      <c r="F292" s="197"/>
      <c r="G292" s="81"/>
      <c r="H292" s="173"/>
    </row>
    <row r="293" spans="1:10" ht="15.75" thickBot="1">
      <c r="A293" s="3" t="s">
        <v>96</v>
      </c>
      <c r="B293" s="11">
        <v>1</v>
      </c>
      <c r="C293" s="185">
        <v>23</v>
      </c>
      <c r="D293" s="12">
        <v>5</v>
      </c>
      <c r="E293" s="143">
        <f>18006368.239957/1000000</f>
        <v>18.006368239957002</v>
      </c>
      <c r="F293" s="197"/>
      <c r="G293" s="82">
        <v>3</v>
      </c>
      <c r="H293" s="145">
        <f>E292+E294+E296</f>
        <v>38.123473279514997</v>
      </c>
      <c r="J293" s="51"/>
    </row>
    <row r="294" spans="1:10" ht="15.75" thickBot="1">
      <c r="A294" s="3" t="s">
        <v>77</v>
      </c>
      <c r="B294" s="11">
        <v>1</v>
      </c>
      <c r="C294" s="185">
        <v>17</v>
      </c>
      <c r="D294" s="12">
        <v>3</v>
      </c>
      <c r="E294" s="143">
        <f>15985257.725551/1000000</f>
        <v>15.985257725551</v>
      </c>
      <c r="F294" s="197"/>
      <c r="G294" s="81"/>
      <c r="H294" s="173"/>
    </row>
    <row r="295" spans="1:10" ht="15.75" thickBot="1">
      <c r="A295" s="3" t="s">
        <v>358</v>
      </c>
      <c r="B295" s="11">
        <v>1</v>
      </c>
      <c r="C295" s="185">
        <v>22</v>
      </c>
      <c r="D295" s="12">
        <v>4</v>
      </c>
      <c r="E295" s="143">
        <f>30927113.409502/1000000</f>
        <v>30.927113409501999</v>
      </c>
      <c r="F295" s="197"/>
      <c r="G295" s="82">
        <v>4</v>
      </c>
      <c r="H295" s="145">
        <f>E295+E298</f>
        <v>36.308996537599995</v>
      </c>
    </row>
    <row r="296" spans="1:10" ht="15.75" thickBot="1">
      <c r="A296" s="3" t="s">
        <v>48</v>
      </c>
      <c r="B296" s="11">
        <v>1</v>
      </c>
      <c r="C296" s="185">
        <v>17</v>
      </c>
      <c r="D296" s="12">
        <v>3</v>
      </c>
      <c r="E296" s="143">
        <f>5067821.34956/1000000</f>
        <v>5.06782134956</v>
      </c>
      <c r="F296" s="197"/>
      <c r="G296" s="81"/>
      <c r="H296" s="173"/>
    </row>
    <row r="297" spans="1:10" ht="15.75" thickBot="1">
      <c r="A297" s="3" t="s">
        <v>138</v>
      </c>
      <c r="B297" s="11">
        <v>2</v>
      </c>
      <c r="C297" s="185">
        <v>22</v>
      </c>
      <c r="D297" s="12">
        <v>5</v>
      </c>
      <c r="E297" s="143">
        <f>52384.24987/1000000</f>
        <v>5.2384249869999996E-2</v>
      </c>
      <c r="F297" s="197"/>
      <c r="G297" s="82">
        <v>5</v>
      </c>
      <c r="H297" s="145">
        <f>E293+E297+E300</f>
        <v>22.653331984646002</v>
      </c>
    </row>
    <row r="298" spans="1:10">
      <c r="A298" s="3" t="s">
        <v>372</v>
      </c>
      <c r="B298" s="11">
        <v>1</v>
      </c>
      <c r="C298" s="185">
        <v>21</v>
      </c>
      <c r="D298" s="12">
        <v>4</v>
      </c>
      <c r="E298" s="143">
        <f>5381883.128098/1000000</f>
        <v>5.381883128098</v>
      </c>
      <c r="F298" s="197"/>
      <c r="G298" s="81"/>
      <c r="H298" s="173"/>
    </row>
    <row r="299" spans="1:10">
      <c r="A299" s="3" t="s">
        <v>76</v>
      </c>
      <c r="B299" s="11">
        <v>1</v>
      </c>
      <c r="C299" s="185">
        <v>15</v>
      </c>
      <c r="D299" s="12">
        <v>2</v>
      </c>
      <c r="E299" s="143">
        <f>14830196.850335/1000000</f>
        <v>14.830196850335</v>
      </c>
      <c r="F299" s="197"/>
      <c r="G299" s="81"/>
      <c r="H299" s="173"/>
    </row>
    <row r="300" spans="1:10" ht="15.75" thickBot="1">
      <c r="A300" s="29" t="s">
        <v>78</v>
      </c>
      <c r="B300" s="30">
        <v>3</v>
      </c>
      <c r="C300" s="188">
        <v>21</v>
      </c>
      <c r="D300" s="31">
        <v>5</v>
      </c>
      <c r="E300" s="144">
        <f>4594579.494819/1000000</f>
        <v>4.5945794948190004</v>
      </c>
      <c r="F300" s="204"/>
      <c r="G300" s="77"/>
      <c r="H300" s="172"/>
    </row>
    <row r="301" spans="1:10" ht="16.5" thickTop="1" thickBot="1">
      <c r="A301" s="5" t="s">
        <v>91</v>
      </c>
      <c r="B301" s="27">
        <v>1</v>
      </c>
      <c r="C301" s="189">
        <v>18</v>
      </c>
      <c r="D301" s="12">
        <v>3</v>
      </c>
      <c r="E301" s="143">
        <f>12113625.265311/1000000</f>
        <v>12.113625265311001</v>
      </c>
      <c r="F301" s="199" t="s">
        <v>192</v>
      </c>
      <c r="G301" s="76"/>
      <c r="H301" s="170"/>
    </row>
    <row r="302" spans="1:10" ht="15.75" thickBot="1">
      <c r="A302" s="3" t="s">
        <v>333</v>
      </c>
      <c r="B302" s="11">
        <v>1</v>
      </c>
      <c r="C302" s="185">
        <v>16</v>
      </c>
      <c r="D302" s="12">
        <v>2</v>
      </c>
      <c r="E302" s="143">
        <f>33795873.495472/1000000</f>
        <v>33.795873495472001</v>
      </c>
      <c r="F302" s="197"/>
      <c r="G302" s="82">
        <v>1</v>
      </c>
      <c r="H302" s="145">
        <f>E307</f>
        <v>9.771178878000001E-3</v>
      </c>
    </row>
    <row r="303" spans="1:10">
      <c r="A303" s="3" t="s">
        <v>332</v>
      </c>
      <c r="B303" s="11">
        <v>1</v>
      </c>
      <c r="C303" s="185">
        <v>19</v>
      </c>
      <c r="D303" s="12">
        <v>3</v>
      </c>
      <c r="E303" s="143">
        <f>35464180.032929/1000000</f>
        <v>35.464180032929001</v>
      </c>
      <c r="F303" s="197"/>
      <c r="G303" s="81"/>
      <c r="H303" s="173"/>
    </row>
    <row r="304" spans="1:10" ht="15.75" thickBot="1">
      <c r="A304" s="3" t="s">
        <v>334</v>
      </c>
      <c r="B304" s="11">
        <v>3</v>
      </c>
      <c r="C304" s="185">
        <v>15</v>
      </c>
      <c r="D304" s="12">
        <v>3</v>
      </c>
      <c r="E304" s="143">
        <f>61001106.750833/1000000</f>
        <v>61.001106750832996</v>
      </c>
      <c r="F304" s="197"/>
      <c r="G304" s="81"/>
      <c r="H304" s="173"/>
    </row>
    <row r="305" spans="1:10" ht="15.75" thickBot="1">
      <c r="A305" s="3" t="s">
        <v>31</v>
      </c>
      <c r="B305" s="11">
        <v>1</v>
      </c>
      <c r="C305" s="185">
        <v>15</v>
      </c>
      <c r="D305" s="12">
        <v>2</v>
      </c>
      <c r="E305" s="143">
        <f>1595344.995846/1000000</f>
        <v>1.595344995846</v>
      </c>
      <c r="F305" s="197"/>
      <c r="G305" s="82">
        <v>2</v>
      </c>
      <c r="H305" s="145">
        <f>E302+E305+E308</f>
        <v>35.421975988737998</v>
      </c>
    </row>
    <row r="306" spans="1:10">
      <c r="A306" s="3" t="s">
        <v>336</v>
      </c>
      <c r="B306" s="11">
        <v>3</v>
      </c>
      <c r="C306" s="185">
        <v>18</v>
      </c>
      <c r="D306" s="12">
        <v>4</v>
      </c>
      <c r="E306" s="143">
        <f>45600.179431/1000000</f>
        <v>4.5600179430999997E-2</v>
      </c>
      <c r="F306" s="197"/>
      <c r="G306" s="81"/>
      <c r="H306" s="173"/>
      <c r="J306" s="51"/>
    </row>
    <row r="307" spans="1:10" ht="15.75" thickBot="1">
      <c r="A307" s="3" t="s">
        <v>338</v>
      </c>
      <c r="B307" s="11">
        <v>1</v>
      </c>
      <c r="C307" s="185">
        <v>13</v>
      </c>
      <c r="D307" s="12">
        <v>1</v>
      </c>
      <c r="E307" s="143">
        <f>9771.178878/1000000</f>
        <v>9.771178878000001E-3</v>
      </c>
      <c r="F307" s="197"/>
      <c r="G307" s="81"/>
      <c r="H307" s="173"/>
    </row>
    <row r="308" spans="1:10" ht="15.75" thickBot="1">
      <c r="A308" s="3" t="s">
        <v>92</v>
      </c>
      <c r="B308" s="11">
        <v>1</v>
      </c>
      <c r="C308" s="185">
        <v>15</v>
      </c>
      <c r="D308" s="12">
        <v>2</v>
      </c>
      <c r="E308" s="143">
        <f>30757.49742/1000000</f>
        <v>3.0757497419999998E-2</v>
      </c>
      <c r="F308" s="197"/>
      <c r="G308" s="82">
        <v>3</v>
      </c>
      <c r="H308" s="145">
        <f>E301+E303+E304+E309+E310</f>
        <v>130.972862461951</v>
      </c>
      <c r="J308" s="51"/>
    </row>
    <row r="309" spans="1:10">
      <c r="A309" s="3" t="s">
        <v>97</v>
      </c>
      <c r="B309" s="11">
        <v>1</v>
      </c>
      <c r="C309" s="185">
        <v>17</v>
      </c>
      <c r="D309" s="12">
        <v>3</v>
      </c>
      <c r="E309" s="143">
        <f>12502574.793014/1000000</f>
        <v>12.502574793013999</v>
      </c>
      <c r="F309" s="197"/>
      <c r="G309" s="81"/>
      <c r="H309" s="173"/>
    </row>
    <row r="310" spans="1:10" ht="15.75" thickBot="1">
      <c r="A310" s="3" t="s">
        <v>32</v>
      </c>
      <c r="B310" s="11">
        <v>1</v>
      </c>
      <c r="C310" s="185">
        <v>17</v>
      </c>
      <c r="D310" s="12">
        <v>3</v>
      </c>
      <c r="E310" s="143">
        <f>9891375.619864/1000000</f>
        <v>9.8913756198640002</v>
      </c>
      <c r="F310" s="197"/>
      <c r="G310" s="81"/>
      <c r="H310" s="173"/>
    </row>
    <row r="311" spans="1:10" ht="15.75" thickBot="1">
      <c r="A311" s="3" t="s">
        <v>60</v>
      </c>
      <c r="B311" s="11">
        <v>3</v>
      </c>
      <c r="C311" s="185">
        <v>19</v>
      </c>
      <c r="D311" s="12">
        <v>4</v>
      </c>
      <c r="E311" s="143">
        <f>40528110.910493/1000000</f>
        <v>40.528110910492998</v>
      </c>
      <c r="F311" s="197"/>
      <c r="G311" s="82">
        <v>4</v>
      </c>
      <c r="H311" s="145">
        <f>E306+E311+E312+E313</f>
        <v>41.231528859234999</v>
      </c>
    </row>
    <row r="312" spans="1:10">
      <c r="A312" s="3" t="s">
        <v>339</v>
      </c>
      <c r="B312" s="11">
        <v>1</v>
      </c>
      <c r="C312" s="185">
        <v>22</v>
      </c>
      <c r="D312" s="12">
        <v>4</v>
      </c>
      <c r="E312" s="143">
        <f>417791.995228/1000000</f>
        <v>0.41779199522799998</v>
      </c>
      <c r="F312" s="197"/>
      <c r="G312" s="81"/>
      <c r="H312" s="173"/>
    </row>
    <row r="313" spans="1:10" ht="15.75" thickBot="1">
      <c r="A313" s="29" t="s">
        <v>103</v>
      </c>
      <c r="B313" s="30">
        <v>3</v>
      </c>
      <c r="C313" s="188">
        <v>19</v>
      </c>
      <c r="D313" s="31">
        <v>4</v>
      </c>
      <c r="E313" s="144">
        <f>240025.774083/1000000</f>
        <v>0.24002577408299999</v>
      </c>
      <c r="F313" s="198"/>
      <c r="G313" s="77"/>
      <c r="H313" s="172"/>
    </row>
    <row r="314" spans="1:10" ht="15.75" thickTop="1">
      <c r="A314" s="5" t="s">
        <v>379</v>
      </c>
      <c r="B314" s="27">
        <v>3</v>
      </c>
      <c r="C314" s="189">
        <v>13</v>
      </c>
      <c r="D314" s="28">
        <v>2</v>
      </c>
      <c r="E314" s="143">
        <f>831201.542657/1000000</f>
        <v>0.83120154265699997</v>
      </c>
      <c r="F314" s="196" t="s">
        <v>191</v>
      </c>
      <c r="G314" s="76"/>
      <c r="H314" s="170"/>
    </row>
    <row r="315" spans="1:10">
      <c r="A315" s="3" t="s">
        <v>99</v>
      </c>
      <c r="B315" s="11">
        <v>1</v>
      </c>
      <c r="C315" s="185">
        <v>14</v>
      </c>
      <c r="D315" s="12">
        <v>2</v>
      </c>
      <c r="E315" s="143">
        <f>21944732.374036/1000000</f>
        <v>21.944732374036001</v>
      </c>
      <c r="F315" s="197"/>
      <c r="G315" s="81"/>
      <c r="H315" s="173"/>
    </row>
    <row r="316" spans="1:10" ht="15.75" thickBot="1">
      <c r="A316" s="3" t="s">
        <v>313</v>
      </c>
      <c r="B316" s="11">
        <v>3</v>
      </c>
      <c r="C316" s="185">
        <v>16</v>
      </c>
      <c r="D316" s="12">
        <v>3</v>
      </c>
      <c r="E316" s="143">
        <f>101590574.558492/1000000</f>
        <v>101.59057455849201</v>
      </c>
      <c r="F316" s="197"/>
      <c r="G316" s="81"/>
      <c r="H316" s="173"/>
      <c r="J316" s="51"/>
    </row>
    <row r="317" spans="1:10" ht="15.75" thickBot="1">
      <c r="A317" s="3" t="s">
        <v>98</v>
      </c>
      <c r="B317" s="11">
        <v>1</v>
      </c>
      <c r="C317" s="185">
        <v>18</v>
      </c>
      <c r="D317" s="12">
        <v>3</v>
      </c>
      <c r="E317" s="143">
        <f>77288394.571122/1000000</f>
        <v>77.288394571122012</v>
      </c>
      <c r="F317" s="197"/>
      <c r="G317" s="82">
        <v>2</v>
      </c>
      <c r="H317" s="145">
        <f>E314+E315+E320</f>
        <v>88.120706926286005</v>
      </c>
      <c r="J317" s="51"/>
    </row>
    <row r="318" spans="1:10">
      <c r="A318" s="3" t="s">
        <v>154</v>
      </c>
      <c r="B318" s="11">
        <v>1</v>
      </c>
      <c r="C318" s="185">
        <v>17</v>
      </c>
      <c r="D318" s="12">
        <v>3</v>
      </c>
      <c r="E318" s="143">
        <f>52238724.707537/1000000</f>
        <v>52.238724707537003</v>
      </c>
      <c r="F318" s="197"/>
      <c r="G318" s="81"/>
      <c r="H318" s="173"/>
      <c r="J318" s="51"/>
    </row>
    <row r="319" spans="1:10" ht="15.75" thickBot="1">
      <c r="A319" s="3" t="s">
        <v>4</v>
      </c>
      <c r="B319" s="11">
        <v>1</v>
      </c>
      <c r="C319" s="185">
        <v>20</v>
      </c>
      <c r="D319" s="12">
        <v>4</v>
      </c>
      <c r="E319" s="143">
        <f>239423.721919/1000000</f>
        <v>0.23942372191899999</v>
      </c>
      <c r="F319" s="197"/>
      <c r="G319" s="81"/>
      <c r="H319" s="173"/>
      <c r="J319" s="51"/>
    </row>
    <row r="320" spans="1:10" ht="15.75" thickBot="1">
      <c r="A320" s="3" t="s">
        <v>35</v>
      </c>
      <c r="B320" s="11">
        <v>1</v>
      </c>
      <c r="C320" s="185">
        <v>14</v>
      </c>
      <c r="D320" s="12">
        <v>2</v>
      </c>
      <c r="E320" s="143">
        <f>65344773.009593/1000000</f>
        <v>65.344773009592998</v>
      </c>
      <c r="F320" s="197"/>
      <c r="G320" s="82">
        <v>3</v>
      </c>
      <c r="H320" s="145">
        <f>E316+E317+E318+E321+E322+E323+E324</f>
        <v>285.44095512355301</v>
      </c>
      <c r="J320" s="51"/>
    </row>
    <row r="321" spans="1:10">
      <c r="A321" s="3" t="s">
        <v>318</v>
      </c>
      <c r="B321" s="11">
        <v>1</v>
      </c>
      <c r="C321" s="185">
        <v>19</v>
      </c>
      <c r="D321" s="12">
        <v>3</v>
      </c>
      <c r="E321" s="143">
        <f>50727942.709351/1000000</f>
        <v>50.727942709351005</v>
      </c>
      <c r="F321" s="197"/>
      <c r="G321" s="81"/>
      <c r="H321" s="173"/>
      <c r="J321" s="51"/>
    </row>
    <row r="322" spans="1:10" ht="15.75" thickBot="1">
      <c r="A322" s="3" t="s">
        <v>314</v>
      </c>
      <c r="B322" s="11">
        <v>1</v>
      </c>
      <c r="C322" s="185">
        <v>19</v>
      </c>
      <c r="D322" s="12">
        <v>3</v>
      </c>
      <c r="E322" s="143">
        <f>222049.047395/1000000</f>
        <v>0.222049047395</v>
      </c>
      <c r="F322" s="197"/>
      <c r="G322" s="81"/>
      <c r="H322" s="173"/>
    </row>
    <row r="323" spans="1:10" ht="15.75" thickBot="1">
      <c r="A323" s="3" t="s">
        <v>10</v>
      </c>
      <c r="B323" s="11">
        <v>1</v>
      </c>
      <c r="C323" s="185">
        <v>17</v>
      </c>
      <c r="D323" s="12">
        <v>3</v>
      </c>
      <c r="E323" s="143">
        <f>969.074895/1000000</f>
        <v>9.69074895E-4</v>
      </c>
      <c r="F323" s="197"/>
      <c r="G323" s="82">
        <v>4</v>
      </c>
      <c r="H323" s="145">
        <f>E319+E325</f>
        <v>0.29883916596999999</v>
      </c>
    </row>
    <row r="324" spans="1:10">
      <c r="A324" s="3" t="s">
        <v>100</v>
      </c>
      <c r="B324" s="11">
        <v>1</v>
      </c>
      <c r="C324" s="185">
        <v>19</v>
      </c>
      <c r="D324" s="12">
        <v>3</v>
      </c>
      <c r="E324" s="143">
        <f>3372300.454761/1000000</f>
        <v>3.372300454761</v>
      </c>
      <c r="F324" s="197"/>
      <c r="G324" s="81"/>
      <c r="H324" s="173"/>
    </row>
    <row r="325" spans="1:10" ht="15.75" thickBot="1">
      <c r="A325" s="29" t="s">
        <v>8</v>
      </c>
      <c r="B325" s="30">
        <v>1</v>
      </c>
      <c r="C325" s="188">
        <v>20</v>
      </c>
      <c r="D325" s="31">
        <v>4</v>
      </c>
      <c r="E325" s="144">
        <f>59415.444051/1000000</f>
        <v>5.9415444051000001E-2</v>
      </c>
      <c r="F325" s="198"/>
      <c r="G325" s="77"/>
      <c r="H325" s="172"/>
    </row>
    <row r="326" spans="1:10" ht="15.75" thickTop="1">
      <c r="A326" s="5" t="s">
        <v>92</v>
      </c>
      <c r="B326" s="27">
        <v>1</v>
      </c>
      <c r="C326" s="189">
        <v>15</v>
      </c>
      <c r="D326" s="28">
        <v>2</v>
      </c>
      <c r="E326" s="143">
        <f>14710.836587/1000000</f>
        <v>1.4710836587E-2</v>
      </c>
      <c r="F326" s="196" t="s">
        <v>193</v>
      </c>
      <c r="G326" s="76"/>
      <c r="H326" s="170"/>
    </row>
    <row r="327" spans="1:10" ht="15.75" thickBot="1">
      <c r="A327" s="3" t="s">
        <v>107</v>
      </c>
      <c r="B327" s="11">
        <v>2</v>
      </c>
      <c r="C327" s="185">
        <v>20</v>
      </c>
      <c r="D327" s="12">
        <v>4</v>
      </c>
      <c r="E327" s="143">
        <f>92393.553686/1000000</f>
        <v>9.2393553685999996E-2</v>
      </c>
      <c r="F327" s="197"/>
      <c r="G327" s="81"/>
      <c r="H327" s="173"/>
    </row>
    <row r="328" spans="1:10" ht="15.75" thickBot="1">
      <c r="A328" s="3" t="s">
        <v>378</v>
      </c>
      <c r="B328" s="11">
        <v>1</v>
      </c>
      <c r="C328" s="185">
        <v>21</v>
      </c>
      <c r="D328" s="12">
        <v>4</v>
      </c>
      <c r="E328" s="143">
        <f>3108158.70499/1000000</f>
        <v>3.1081587049900001</v>
      </c>
      <c r="F328" s="197"/>
      <c r="G328" s="82">
        <v>1</v>
      </c>
      <c r="H328" s="145">
        <f>E331</f>
        <v>8.7476556838999991E-2</v>
      </c>
    </row>
    <row r="329" spans="1:10" ht="15.75" thickBot="1">
      <c r="A329" s="3" t="s">
        <v>377</v>
      </c>
      <c r="B329" s="11">
        <v>1</v>
      </c>
      <c r="C329" s="185">
        <v>21</v>
      </c>
      <c r="D329" s="12">
        <v>4</v>
      </c>
      <c r="E329" s="143">
        <f>43078297.220668/1000000</f>
        <v>43.078297220668006</v>
      </c>
      <c r="F329" s="197"/>
      <c r="G329" s="81"/>
      <c r="H329" s="173"/>
    </row>
    <row r="330" spans="1:10" ht="15.75" thickBot="1">
      <c r="A330" s="3" t="s">
        <v>101</v>
      </c>
      <c r="B330" s="11">
        <v>1</v>
      </c>
      <c r="C330" s="185">
        <v>15</v>
      </c>
      <c r="D330" s="12">
        <v>2</v>
      </c>
      <c r="E330" s="143">
        <f>7742142.074477/1000000</f>
        <v>7.742142074477</v>
      </c>
      <c r="F330" s="197"/>
      <c r="G330" s="82">
        <v>2</v>
      </c>
      <c r="H330" s="145">
        <f>E326+E330+E332</f>
        <v>13.259964986758</v>
      </c>
    </row>
    <row r="331" spans="1:10" ht="15.75" thickBot="1">
      <c r="A331" s="3" t="s">
        <v>360</v>
      </c>
      <c r="B331" s="11">
        <v>1</v>
      </c>
      <c r="C331" s="185">
        <v>11</v>
      </c>
      <c r="D331" s="12">
        <v>1</v>
      </c>
      <c r="E331" s="143">
        <f>87476.556839/1000000</f>
        <v>8.7476556838999991E-2</v>
      </c>
      <c r="F331" s="197"/>
      <c r="G331" s="81"/>
      <c r="H331" s="173"/>
      <c r="J331" s="51"/>
    </row>
    <row r="332" spans="1:10" ht="15.75" thickBot="1">
      <c r="A332" s="3" t="s">
        <v>361</v>
      </c>
      <c r="B332" s="11">
        <v>2</v>
      </c>
      <c r="C332" s="185">
        <v>15</v>
      </c>
      <c r="D332" s="12">
        <v>2</v>
      </c>
      <c r="E332" s="143">
        <f>5503112.075694/1000000</f>
        <v>5.5031120756940002</v>
      </c>
      <c r="F332" s="197"/>
      <c r="G332" s="82">
        <v>3</v>
      </c>
      <c r="H332" s="145">
        <f>E336+E337</f>
        <v>24.164378092621</v>
      </c>
    </row>
    <row r="333" spans="1:10" ht="15.75" thickBot="1">
      <c r="A333" s="3" t="s">
        <v>102</v>
      </c>
      <c r="B333" s="11">
        <v>2</v>
      </c>
      <c r="C333" s="185">
        <v>22</v>
      </c>
      <c r="D333" s="12">
        <v>5</v>
      </c>
      <c r="E333" s="143">
        <f>106663934.331779/1000000</f>
        <v>106.663934331779</v>
      </c>
      <c r="F333" s="197"/>
      <c r="G333" s="81"/>
      <c r="H333" s="173"/>
    </row>
    <row r="334" spans="1:10" ht="15.75" thickBot="1">
      <c r="A334" s="3" t="s">
        <v>60</v>
      </c>
      <c r="B334" s="11">
        <v>3</v>
      </c>
      <c r="C334" s="185">
        <v>19</v>
      </c>
      <c r="D334" s="12">
        <v>4</v>
      </c>
      <c r="E334" s="143">
        <f>3633677.186489/1000000</f>
        <v>3.6336771864889998</v>
      </c>
      <c r="F334" s="197"/>
      <c r="G334" s="82">
        <v>4</v>
      </c>
      <c r="H334" s="145">
        <f>E327+E328+E329+E334+E338+E339+E340</f>
        <v>132.70308906148102</v>
      </c>
    </row>
    <row r="335" spans="1:10" ht="15.75" thickBot="1">
      <c r="A335" s="3" t="s">
        <v>45</v>
      </c>
      <c r="B335" s="11">
        <v>2</v>
      </c>
      <c r="C335" s="185">
        <v>23</v>
      </c>
      <c r="D335" s="12">
        <v>5</v>
      </c>
      <c r="E335" s="143">
        <f>104334645.638536/1000000</f>
        <v>104.334645638536</v>
      </c>
      <c r="F335" s="197"/>
      <c r="G335" s="81"/>
      <c r="H335" s="173"/>
    </row>
    <row r="336" spans="1:10" ht="15.75" thickBot="1">
      <c r="A336" s="3" t="s">
        <v>380</v>
      </c>
      <c r="B336" s="11">
        <v>3</v>
      </c>
      <c r="C336" s="185">
        <v>15</v>
      </c>
      <c r="D336" s="12">
        <v>3</v>
      </c>
      <c r="E336" s="143">
        <f>23707191.927055/1000000</f>
        <v>23.707191927055</v>
      </c>
      <c r="F336" s="197"/>
      <c r="G336" s="82">
        <v>5</v>
      </c>
      <c r="H336" s="145">
        <f>E333+E335</f>
        <v>210.99857997031501</v>
      </c>
    </row>
    <row r="337" spans="1:10">
      <c r="A337" s="3" t="s">
        <v>43</v>
      </c>
      <c r="B337" s="11">
        <v>2</v>
      </c>
      <c r="C337" s="185">
        <v>18</v>
      </c>
      <c r="D337" s="12">
        <v>3</v>
      </c>
      <c r="E337" s="143">
        <f>457186.165566/1000000</f>
        <v>0.457186165566</v>
      </c>
      <c r="F337" s="197"/>
      <c r="G337" s="81"/>
      <c r="H337" s="173"/>
    </row>
    <row r="338" spans="1:10">
      <c r="A338" s="3" t="s">
        <v>103</v>
      </c>
      <c r="B338" s="11">
        <v>3</v>
      </c>
      <c r="C338" s="185">
        <v>19</v>
      </c>
      <c r="D338" s="12">
        <v>4</v>
      </c>
      <c r="E338" s="143">
        <f>41741262.543711/1000000</f>
        <v>41.741262543711002</v>
      </c>
      <c r="F338" s="197"/>
      <c r="G338" s="81"/>
      <c r="H338" s="173"/>
    </row>
    <row r="339" spans="1:10">
      <c r="A339" s="3" t="s">
        <v>381</v>
      </c>
      <c r="B339" s="11">
        <v>1</v>
      </c>
      <c r="C339" s="185">
        <v>21</v>
      </c>
      <c r="D339" s="12">
        <v>4</v>
      </c>
      <c r="E339" s="143">
        <f>40950842.734916/1000000</f>
        <v>40.950842734916002</v>
      </c>
      <c r="F339" s="197"/>
      <c r="G339" s="81"/>
      <c r="H339" s="173"/>
    </row>
    <row r="340" spans="1:10" ht="15.75" thickBot="1">
      <c r="A340" s="29" t="s">
        <v>95</v>
      </c>
      <c r="B340" s="30">
        <v>2</v>
      </c>
      <c r="C340" s="188">
        <v>19</v>
      </c>
      <c r="D340" s="31">
        <v>4</v>
      </c>
      <c r="E340" s="144">
        <f>98457.117021/1000000</f>
        <v>9.8457117021000004E-2</v>
      </c>
      <c r="F340" s="198"/>
      <c r="G340" s="77"/>
      <c r="H340" s="172"/>
    </row>
    <row r="341" spans="1:10" ht="15.75" thickTop="1">
      <c r="A341" s="5" t="s">
        <v>13</v>
      </c>
      <c r="B341" s="27">
        <v>1</v>
      </c>
      <c r="C341" s="189">
        <v>18</v>
      </c>
      <c r="D341" s="28">
        <v>3</v>
      </c>
      <c r="E341" s="143">
        <f>37172.186947/1000000</f>
        <v>3.7172186947000002E-2</v>
      </c>
      <c r="F341" s="201" t="s">
        <v>194</v>
      </c>
      <c r="G341" s="76"/>
      <c r="H341" s="170"/>
    </row>
    <row r="342" spans="1:10" ht="15.75" thickBot="1">
      <c r="A342" s="3" t="s">
        <v>28</v>
      </c>
      <c r="B342" s="11">
        <v>1</v>
      </c>
      <c r="C342" s="185">
        <v>17</v>
      </c>
      <c r="D342" s="12">
        <v>3</v>
      </c>
      <c r="E342" s="143">
        <f>166198688.994897/1000000</f>
        <v>166.198688994897</v>
      </c>
      <c r="F342" s="202"/>
      <c r="G342" s="81"/>
      <c r="H342" s="173"/>
    </row>
    <row r="343" spans="1:10" ht="15.75" thickBot="1">
      <c r="A343" s="3" t="s">
        <v>320</v>
      </c>
      <c r="B343" s="11">
        <v>1</v>
      </c>
      <c r="C343" s="185">
        <v>22</v>
      </c>
      <c r="D343" s="12">
        <v>4</v>
      </c>
      <c r="E343" s="143">
        <f>394183.989027/1000000</f>
        <v>0.39418398902699997</v>
      </c>
      <c r="F343" s="202"/>
      <c r="G343" s="82">
        <v>1</v>
      </c>
      <c r="H343" s="145">
        <f>E352+E359</f>
        <v>29.910118284014001</v>
      </c>
    </row>
    <row r="344" spans="1:10">
      <c r="A344" s="3" t="s">
        <v>14</v>
      </c>
      <c r="B344" s="11">
        <v>1</v>
      </c>
      <c r="C344" s="185">
        <v>15</v>
      </c>
      <c r="D344" s="12">
        <v>2</v>
      </c>
      <c r="E344" s="143">
        <f>4065521.247537/1000000</f>
        <v>4.0655212475370002</v>
      </c>
      <c r="F344" s="202"/>
      <c r="G344" s="81"/>
      <c r="H344" s="173"/>
    </row>
    <row r="345" spans="1:10" ht="15.75" thickBot="1">
      <c r="A345" s="3" t="s">
        <v>75</v>
      </c>
      <c r="B345" s="11">
        <v>1</v>
      </c>
      <c r="C345" s="185">
        <v>17</v>
      </c>
      <c r="D345" s="12">
        <v>3</v>
      </c>
      <c r="E345" s="143">
        <f>67800720.531484/1000000</f>
        <v>67.800720531483989</v>
      </c>
      <c r="F345" s="202"/>
      <c r="G345" s="81"/>
      <c r="H345" s="173"/>
    </row>
    <row r="346" spans="1:10" ht="15.75" thickBot="1">
      <c r="A346" s="3" t="s">
        <v>27</v>
      </c>
      <c r="B346" s="11">
        <v>2</v>
      </c>
      <c r="C346" s="185">
        <v>24</v>
      </c>
      <c r="D346" s="12">
        <v>5</v>
      </c>
      <c r="E346" s="143">
        <f>1055092.247426/1000000</f>
        <v>1.0550922474260001</v>
      </c>
      <c r="F346" s="202"/>
      <c r="G346" s="82">
        <v>2</v>
      </c>
      <c r="H346" s="145">
        <f>E344+E350+E355+E357+E358</f>
        <v>81.294079124012995</v>
      </c>
    </row>
    <row r="347" spans="1:10">
      <c r="A347" s="3" t="s">
        <v>370</v>
      </c>
      <c r="B347" s="11">
        <v>1</v>
      </c>
      <c r="C347" s="185">
        <v>21</v>
      </c>
      <c r="D347" s="12">
        <v>4</v>
      </c>
      <c r="E347" s="143">
        <f>93260329.878308/1000000</f>
        <v>93.260329878307999</v>
      </c>
      <c r="F347" s="202"/>
      <c r="G347" s="81"/>
      <c r="H347" s="173"/>
      <c r="J347" s="51"/>
    </row>
    <row r="348" spans="1:10" ht="15.75" thickBot="1">
      <c r="A348" s="3" t="s">
        <v>86</v>
      </c>
      <c r="B348" s="11">
        <v>2</v>
      </c>
      <c r="C348" s="185">
        <v>22</v>
      </c>
      <c r="D348" s="12">
        <v>5</v>
      </c>
      <c r="E348" s="143">
        <f>315493.198924/1000000</f>
        <v>0.31549319892400002</v>
      </c>
      <c r="F348" s="202"/>
      <c r="G348" s="81"/>
      <c r="H348" s="173"/>
      <c r="J348" s="51"/>
    </row>
    <row r="349" spans="1:10" ht="15.75" thickBot="1">
      <c r="A349" s="3" t="s">
        <v>106</v>
      </c>
      <c r="B349" s="11">
        <v>1</v>
      </c>
      <c r="C349" s="185">
        <v>18</v>
      </c>
      <c r="D349" s="12">
        <v>3</v>
      </c>
      <c r="E349" s="143">
        <f>62109433.12768/1000000</f>
        <v>62.109433127680006</v>
      </c>
      <c r="F349" s="202"/>
      <c r="G349" s="82">
        <v>3</v>
      </c>
      <c r="H349" s="145">
        <f>E341+E342+E345+E349+E351+E353+E354+E356</f>
        <v>373.94366362712094</v>
      </c>
      <c r="J349" s="51"/>
    </row>
    <row r="350" spans="1:10">
      <c r="A350" s="3" t="s">
        <v>104</v>
      </c>
      <c r="B350" s="11">
        <v>1</v>
      </c>
      <c r="C350" s="185">
        <v>15</v>
      </c>
      <c r="D350" s="12">
        <v>2</v>
      </c>
      <c r="E350" s="143">
        <f>49734574.962509/1000000</f>
        <v>49.734574962509001</v>
      </c>
      <c r="F350" s="202"/>
      <c r="G350" s="81"/>
      <c r="H350" s="173"/>
      <c r="J350" s="51"/>
    </row>
    <row r="351" spans="1:10" ht="15.75" thickBot="1">
      <c r="A351" s="3" t="s">
        <v>70</v>
      </c>
      <c r="B351" s="11">
        <v>2</v>
      </c>
      <c r="C351" s="185">
        <v>17</v>
      </c>
      <c r="D351" s="12">
        <v>3</v>
      </c>
      <c r="E351" s="143">
        <f>3556949.312667/1000000</f>
        <v>3.5569493126670002</v>
      </c>
      <c r="F351" s="202"/>
      <c r="G351" s="81"/>
      <c r="H351" s="173"/>
      <c r="J351" s="51"/>
    </row>
    <row r="352" spans="1:10" ht="15.75" thickBot="1">
      <c r="A352" s="3" t="s">
        <v>365</v>
      </c>
      <c r="B352" s="11">
        <v>1</v>
      </c>
      <c r="C352" s="185">
        <v>13</v>
      </c>
      <c r="D352" s="12">
        <v>1</v>
      </c>
      <c r="E352" s="143">
        <f>29901535.945808/1000000</f>
        <v>29.901535945808</v>
      </c>
      <c r="F352" s="202"/>
      <c r="G352" s="82">
        <v>4</v>
      </c>
      <c r="H352" s="145">
        <f>E343+E347</f>
        <v>93.654513867334998</v>
      </c>
      <c r="J352" s="51"/>
    </row>
    <row r="353" spans="1:10">
      <c r="A353" s="3" t="s">
        <v>105</v>
      </c>
      <c r="B353" s="11">
        <v>1</v>
      </c>
      <c r="C353" s="185">
        <v>18</v>
      </c>
      <c r="D353" s="12">
        <v>3</v>
      </c>
      <c r="E353" s="143">
        <f>44203828.861946/1000000</f>
        <v>44.203828861946</v>
      </c>
      <c r="F353" s="202"/>
      <c r="G353" s="81"/>
      <c r="H353" s="173"/>
    </row>
    <row r="354" spans="1:10" ht="15.75" thickBot="1">
      <c r="A354" s="3" t="s">
        <v>19</v>
      </c>
      <c r="B354" s="11">
        <v>1</v>
      </c>
      <c r="C354" s="185">
        <v>17</v>
      </c>
      <c r="D354" s="12">
        <v>3</v>
      </c>
      <c r="E354" s="143">
        <f>22410428.757945/1000000</f>
        <v>22.410428757945002</v>
      </c>
      <c r="F354" s="202"/>
      <c r="G354" s="81"/>
      <c r="H354" s="173"/>
    </row>
    <row r="355" spans="1:10" ht="15.75" thickBot="1">
      <c r="A355" s="3" t="s">
        <v>15</v>
      </c>
      <c r="B355" s="11">
        <v>1</v>
      </c>
      <c r="C355" s="185">
        <v>15</v>
      </c>
      <c r="D355" s="12">
        <v>2</v>
      </c>
      <c r="E355" s="143">
        <f>5940.825926/1000000</f>
        <v>5.940825926E-3</v>
      </c>
      <c r="F355" s="202"/>
      <c r="G355" s="82">
        <v>5</v>
      </c>
      <c r="H355" s="145">
        <f>E346+E348</f>
        <v>1.37058544635</v>
      </c>
    </row>
    <row r="356" spans="1:10">
      <c r="A356" s="3" t="s">
        <v>322</v>
      </c>
      <c r="B356" s="11">
        <v>1</v>
      </c>
      <c r="C356" s="185">
        <v>19</v>
      </c>
      <c r="D356" s="12">
        <v>3</v>
      </c>
      <c r="E356" s="143">
        <f>7626441.853555/1000000</f>
        <v>7.6264418535550007</v>
      </c>
      <c r="F356" s="202"/>
      <c r="G356" s="81"/>
      <c r="H356" s="173"/>
    </row>
    <row r="357" spans="1:10">
      <c r="A357" s="3" t="s">
        <v>17</v>
      </c>
      <c r="B357" s="11">
        <v>1</v>
      </c>
      <c r="C357" s="185">
        <v>15</v>
      </c>
      <c r="D357" s="12">
        <v>2</v>
      </c>
      <c r="E357" s="143">
        <f>27469253.014395/1000000</f>
        <v>27.469253014394997</v>
      </c>
      <c r="F357" s="202"/>
      <c r="G357" s="81"/>
      <c r="H357" s="173"/>
    </row>
    <row r="358" spans="1:10">
      <c r="A358" s="3" t="s">
        <v>375</v>
      </c>
      <c r="B358" s="11">
        <v>1</v>
      </c>
      <c r="C358" s="185">
        <v>16</v>
      </c>
      <c r="D358" s="12">
        <v>2</v>
      </c>
      <c r="E358" s="143">
        <f>18789.073646/1000000</f>
        <v>1.8789073646E-2</v>
      </c>
      <c r="F358" s="202"/>
      <c r="G358" s="81"/>
      <c r="H358" s="173"/>
    </row>
    <row r="359" spans="1:10" ht="15.75" thickBot="1">
      <c r="A359" s="29" t="s">
        <v>382</v>
      </c>
      <c r="B359" s="30">
        <v>1</v>
      </c>
      <c r="C359" s="188">
        <v>13</v>
      </c>
      <c r="D359" s="21">
        <v>1</v>
      </c>
      <c r="E359" s="144">
        <f>8582.338206/1000000</f>
        <v>8.5823382060000002E-3</v>
      </c>
      <c r="F359" s="203"/>
      <c r="G359" s="77"/>
      <c r="H359" s="172"/>
    </row>
    <row r="360" spans="1:10" ht="16.5" thickTop="1" thickBot="1">
      <c r="A360" s="5" t="s">
        <v>90</v>
      </c>
      <c r="B360" s="27">
        <v>1</v>
      </c>
      <c r="C360" s="189">
        <v>17</v>
      </c>
      <c r="D360" s="22">
        <v>3</v>
      </c>
      <c r="E360" s="143">
        <f>6052.555244/1000000</f>
        <v>6.0525552440000002E-3</v>
      </c>
      <c r="F360" s="196" t="s">
        <v>195</v>
      </c>
      <c r="G360" s="76"/>
      <c r="H360" s="170"/>
      <c r="J360" s="51"/>
    </row>
    <row r="361" spans="1:10" ht="15.75" thickBot="1">
      <c r="A361" s="3" t="s">
        <v>107</v>
      </c>
      <c r="B361" s="11">
        <v>2</v>
      </c>
      <c r="C361" s="185">
        <v>20</v>
      </c>
      <c r="D361" s="87">
        <v>4</v>
      </c>
      <c r="E361" s="143">
        <f>34099395.098652/1000000</f>
        <v>34.099395098651996</v>
      </c>
      <c r="F361" s="200"/>
      <c r="G361" s="82">
        <v>3</v>
      </c>
      <c r="H361" s="145">
        <f>E360+E362</f>
        <v>0.226951932503</v>
      </c>
      <c r="J361" s="51"/>
    </row>
    <row r="362" spans="1:10" ht="15.75" thickBot="1">
      <c r="A362" s="3" t="s">
        <v>94</v>
      </c>
      <c r="B362" s="11">
        <v>3</v>
      </c>
      <c r="C362" s="185">
        <v>16</v>
      </c>
      <c r="D362" s="87">
        <v>3</v>
      </c>
      <c r="E362" s="143">
        <f>220899.377259/1000000</f>
        <v>0.220899377259</v>
      </c>
      <c r="F362" s="200"/>
      <c r="G362" s="82">
        <v>4</v>
      </c>
      <c r="H362" s="145">
        <f>E361+E363+E364</f>
        <v>54.689866330681994</v>
      </c>
      <c r="J362" s="51"/>
    </row>
    <row r="363" spans="1:10" ht="15.75" thickBot="1">
      <c r="A363" s="3" t="s">
        <v>378</v>
      </c>
      <c r="B363" s="11">
        <v>1</v>
      </c>
      <c r="C363" s="185">
        <v>21</v>
      </c>
      <c r="D363" s="87">
        <v>4</v>
      </c>
      <c r="E363" s="143">
        <f>18960499.897489/1000000</f>
        <v>18.960499897489001</v>
      </c>
      <c r="F363" s="200"/>
      <c r="G363" s="82">
        <v>5</v>
      </c>
      <c r="H363" s="145">
        <f>E365</f>
        <v>0.226067004924</v>
      </c>
      <c r="J363" s="51"/>
    </row>
    <row r="364" spans="1:10">
      <c r="A364" s="3" t="s">
        <v>377</v>
      </c>
      <c r="B364" s="11">
        <v>1</v>
      </c>
      <c r="C364" s="185">
        <v>21</v>
      </c>
      <c r="D364" s="87">
        <v>4</v>
      </c>
      <c r="E364" s="143">
        <f>1629971.334541/1000000</f>
        <v>1.6299713345409998</v>
      </c>
      <c r="F364" s="200"/>
      <c r="G364" s="81"/>
      <c r="H364" s="173"/>
      <c r="J364" s="51"/>
    </row>
    <row r="365" spans="1:10" ht="15.75" thickBot="1">
      <c r="A365" s="29" t="s">
        <v>45</v>
      </c>
      <c r="B365" s="30">
        <v>2</v>
      </c>
      <c r="C365" s="188">
        <v>23</v>
      </c>
      <c r="D365" s="31">
        <v>5</v>
      </c>
      <c r="E365" s="144">
        <f>226067.004924/1000000</f>
        <v>0.226067004924</v>
      </c>
      <c r="F365" s="198"/>
      <c r="G365" s="77"/>
      <c r="H365" s="172"/>
    </row>
    <row r="366" spans="1:10" ht="16.5" thickTop="1" thickBot="1">
      <c r="A366" s="5" t="s">
        <v>32</v>
      </c>
      <c r="B366" s="27">
        <v>1</v>
      </c>
      <c r="C366" s="189">
        <v>17</v>
      </c>
      <c r="D366" s="28">
        <v>3</v>
      </c>
      <c r="E366" s="143">
        <f>12665297.568348/1000000</f>
        <v>12.665297568348</v>
      </c>
      <c r="F366" s="196" t="s">
        <v>196</v>
      </c>
      <c r="G366" s="82">
        <v>3</v>
      </c>
      <c r="H366" s="145">
        <f>E366</f>
        <v>12.665297568348</v>
      </c>
      <c r="J366" s="51"/>
    </row>
    <row r="367" spans="1:10" ht="15.75" thickBot="1">
      <c r="A367" s="29" t="s">
        <v>108</v>
      </c>
      <c r="B367" s="30">
        <v>2</v>
      </c>
      <c r="C367" s="188">
        <v>22</v>
      </c>
      <c r="D367" s="31">
        <v>5</v>
      </c>
      <c r="E367" s="144">
        <f>26935848.809537/1000000</f>
        <v>26.935848809536999</v>
      </c>
      <c r="F367" s="198"/>
      <c r="G367" s="82">
        <v>5</v>
      </c>
      <c r="H367" s="145">
        <f>E367</f>
        <v>26.935848809536999</v>
      </c>
    </row>
    <row r="368" spans="1:10" ht="16.5" thickTop="1" thickBot="1">
      <c r="A368" s="5" t="s">
        <v>30</v>
      </c>
      <c r="B368" s="27">
        <v>3</v>
      </c>
      <c r="C368" s="189">
        <v>24</v>
      </c>
      <c r="D368" s="28">
        <v>5</v>
      </c>
      <c r="E368" s="143">
        <f>48294738.106059/1000000</f>
        <v>48.294738106059</v>
      </c>
      <c r="F368" s="196" t="s">
        <v>197</v>
      </c>
      <c r="G368" s="76"/>
      <c r="H368" s="170"/>
    </row>
    <row r="369" spans="1:10" ht="15.75" thickBot="1">
      <c r="A369" s="26" t="s">
        <v>138</v>
      </c>
      <c r="B369" s="27">
        <v>2</v>
      </c>
      <c r="C369" s="189">
        <v>22</v>
      </c>
      <c r="D369" s="28">
        <v>5</v>
      </c>
      <c r="E369" s="143">
        <f>1556133.75426/1000000</f>
        <v>1.55613375426</v>
      </c>
      <c r="F369" s="200"/>
      <c r="G369" s="82">
        <v>2</v>
      </c>
      <c r="H369" s="145">
        <f>E370</f>
        <v>107.786259021354</v>
      </c>
      <c r="J369" s="51"/>
    </row>
    <row r="370" spans="1:10" ht="15.75" thickBot="1">
      <c r="A370" s="29" t="s">
        <v>383</v>
      </c>
      <c r="B370" s="30">
        <v>1</v>
      </c>
      <c r="C370" s="188">
        <v>16</v>
      </c>
      <c r="D370" s="31">
        <v>2</v>
      </c>
      <c r="E370" s="144">
        <f>107786259.021354/1000000</f>
        <v>107.786259021354</v>
      </c>
      <c r="F370" s="198"/>
      <c r="G370" s="82">
        <v>5</v>
      </c>
      <c r="H370" s="145">
        <f>E368+E369</f>
        <v>49.850871860319003</v>
      </c>
    </row>
    <row r="371" spans="1:10" ht="15.75" thickTop="1">
      <c r="A371" s="5" t="s">
        <v>363</v>
      </c>
      <c r="B371" s="27">
        <v>2</v>
      </c>
      <c r="C371" s="189">
        <v>14</v>
      </c>
      <c r="D371" s="28">
        <v>2</v>
      </c>
      <c r="E371" s="143">
        <f>465469.028068/1000000</f>
        <v>0.465469028068</v>
      </c>
      <c r="F371" s="196" t="s">
        <v>198</v>
      </c>
      <c r="G371" s="76"/>
      <c r="H371" s="170"/>
    </row>
    <row r="372" spans="1:10" ht="15.75" thickBot="1">
      <c r="A372" s="3" t="s">
        <v>61</v>
      </c>
      <c r="B372" s="27">
        <v>2</v>
      </c>
      <c r="C372" s="189">
        <v>17</v>
      </c>
      <c r="D372" s="12">
        <v>3</v>
      </c>
      <c r="E372" s="143">
        <f>77460.849015/1000000</f>
        <v>7.7460849015E-2</v>
      </c>
      <c r="F372" s="197"/>
      <c r="G372" s="81"/>
      <c r="H372" s="173"/>
      <c r="J372" s="51"/>
    </row>
    <row r="373" spans="1:10" ht="15.75" thickBot="1">
      <c r="A373" s="3" t="s">
        <v>64</v>
      </c>
      <c r="B373" s="27">
        <v>2</v>
      </c>
      <c r="C373" s="189">
        <v>20</v>
      </c>
      <c r="D373" s="12">
        <v>4</v>
      </c>
      <c r="E373" s="143">
        <f>50679429.698265/1000000</f>
        <v>50.679429698265004</v>
      </c>
      <c r="F373" s="197"/>
      <c r="G373" s="82">
        <v>2</v>
      </c>
      <c r="H373" s="145">
        <f>E371+E375+E377</f>
        <v>55.370868062571994</v>
      </c>
      <c r="J373" s="51"/>
    </row>
    <row r="374" spans="1:10" ht="15.75" thickBot="1">
      <c r="A374" s="3" t="s">
        <v>364</v>
      </c>
      <c r="B374" s="27">
        <v>0</v>
      </c>
      <c r="C374" s="189">
        <v>20</v>
      </c>
      <c r="D374" s="12">
        <v>3</v>
      </c>
      <c r="E374" s="143">
        <f>229683.698066/1000000</f>
        <v>0.229683698066</v>
      </c>
      <c r="F374" s="197"/>
      <c r="G374" s="82">
        <v>3</v>
      </c>
      <c r="H374" s="145">
        <f>E372+E374</f>
        <v>0.30714454708100003</v>
      </c>
      <c r="J374" s="51"/>
    </row>
    <row r="375" spans="1:10" ht="15.75" thickBot="1">
      <c r="A375" s="3" t="s">
        <v>62</v>
      </c>
      <c r="B375" s="27">
        <v>0</v>
      </c>
      <c r="C375" s="189">
        <v>15</v>
      </c>
      <c r="D375" s="12">
        <v>2</v>
      </c>
      <c r="E375" s="143">
        <f>22784703.171511/1000000</f>
        <v>22.784703171510998</v>
      </c>
      <c r="F375" s="197"/>
      <c r="G375" s="82">
        <v>4</v>
      </c>
      <c r="H375" s="145">
        <f>E373</f>
        <v>50.679429698265004</v>
      </c>
      <c r="J375" s="51"/>
    </row>
    <row r="376" spans="1:10" ht="15.75" thickBot="1">
      <c r="A376" s="3" t="s">
        <v>109</v>
      </c>
      <c r="B376" s="27">
        <v>2</v>
      </c>
      <c r="C376" s="189">
        <v>23</v>
      </c>
      <c r="D376" s="12">
        <v>5</v>
      </c>
      <c r="E376" s="143">
        <f>27090555.587574/1000000</f>
        <v>27.090555587574002</v>
      </c>
      <c r="F376" s="197"/>
      <c r="G376" s="82">
        <v>5</v>
      </c>
      <c r="H376" s="145">
        <f>E376+E378</f>
        <v>27.222269495064001</v>
      </c>
      <c r="J376" s="51"/>
    </row>
    <row r="377" spans="1:10">
      <c r="A377" s="3" t="s">
        <v>110</v>
      </c>
      <c r="B377" s="27">
        <v>0</v>
      </c>
      <c r="C377" s="189">
        <v>15</v>
      </c>
      <c r="D377" s="12">
        <v>2</v>
      </c>
      <c r="E377" s="143">
        <f>32120695.862993/1000000</f>
        <v>32.120695862992996</v>
      </c>
      <c r="F377" s="197"/>
      <c r="G377" s="81"/>
      <c r="H377" s="173"/>
    </row>
    <row r="378" spans="1:10" ht="15.75" thickBot="1">
      <c r="A378" s="29" t="s">
        <v>63</v>
      </c>
      <c r="B378" s="30">
        <v>3</v>
      </c>
      <c r="C378" s="188">
        <v>25</v>
      </c>
      <c r="D378" s="31">
        <v>5</v>
      </c>
      <c r="E378" s="144">
        <f>131713.90749/1000000</f>
        <v>0.13171390749</v>
      </c>
      <c r="F378" s="198"/>
      <c r="G378" s="77"/>
      <c r="H378" s="172"/>
    </row>
    <row r="379" spans="1:10" ht="15.75" thickTop="1">
      <c r="A379" s="5" t="s">
        <v>323</v>
      </c>
      <c r="B379" s="27">
        <v>1</v>
      </c>
      <c r="C379" s="189">
        <v>19</v>
      </c>
      <c r="D379" s="64">
        <v>3</v>
      </c>
      <c r="E379" s="143">
        <f>30457976.5767/1000000</f>
        <v>30.457976576699998</v>
      </c>
      <c r="F379" s="199" t="s">
        <v>199</v>
      </c>
      <c r="G379" s="76"/>
      <c r="H379" s="170"/>
    </row>
    <row r="380" spans="1:10" ht="15.75" thickBot="1">
      <c r="A380" s="3" t="s">
        <v>121</v>
      </c>
      <c r="B380" s="27">
        <v>1</v>
      </c>
      <c r="C380" s="189">
        <v>20</v>
      </c>
      <c r="D380" s="12">
        <v>4</v>
      </c>
      <c r="E380" s="143">
        <f>160112.521226/1000000</f>
        <v>0.160112521226</v>
      </c>
      <c r="F380" s="197"/>
      <c r="G380" s="81"/>
      <c r="H380" s="173"/>
    </row>
    <row r="381" spans="1:10" ht="15.75" thickBot="1">
      <c r="A381" s="3" t="s">
        <v>113</v>
      </c>
      <c r="B381" s="27">
        <v>1</v>
      </c>
      <c r="C381" s="189">
        <v>14</v>
      </c>
      <c r="D381" s="12">
        <v>2</v>
      </c>
      <c r="E381" s="143">
        <f>3350048.42941/1000000</f>
        <v>3.3500484294099997</v>
      </c>
      <c r="F381" s="197"/>
      <c r="G381" s="82">
        <v>1</v>
      </c>
      <c r="H381" s="145">
        <f>E384</f>
        <v>2.1958620496299996</v>
      </c>
      <c r="J381" s="51"/>
    </row>
    <row r="382" spans="1:10" ht="15.75" thickBot="1">
      <c r="A382" s="3" t="s">
        <v>111</v>
      </c>
      <c r="B382" s="27">
        <v>1</v>
      </c>
      <c r="C382" s="189">
        <v>18</v>
      </c>
      <c r="D382" s="12">
        <v>3</v>
      </c>
      <c r="E382" s="143">
        <f>35026425.9262/1000000</f>
        <v>35.026425926200005</v>
      </c>
      <c r="F382" s="197"/>
      <c r="G382" s="82">
        <v>2</v>
      </c>
      <c r="H382" s="145">
        <f>E381+E385</f>
        <v>16.726571964009999</v>
      </c>
    </row>
    <row r="383" spans="1:10" ht="15.75" thickBot="1">
      <c r="A383" s="3" t="s">
        <v>112</v>
      </c>
      <c r="B383" s="27">
        <v>3</v>
      </c>
      <c r="C383" s="189">
        <v>17</v>
      </c>
      <c r="D383" s="12">
        <v>3</v>
      </c>
      <c r="E383" s="143">
        <f>25206138.2185/1000000</f>
        <v>25.206138218499998</v>
      </c>
      <c r="F383" s="197"/>
      <c r="G383" s="82">
        <v>3</v>
      </c>
      <c r="H383" s="145">
        <f>E379+E382+E383+E386</f>
        <v>91.215254749237999</v>
      </c>
    </row>
    <row r="384" spans="1:10" ht="15.75" thickBot="1">
      <c r="A384" s="3" t="s">
        <v>324</v>
      </c>
      <c r="B384" s="27">
        <v>1</v>
      </c>
      <c r="C384" s="189">
        <v>13</v>
      </c>
      <c r="D384" s="12">
        <v>1</v>
      </c>
      <c r="E384" s="143">
        <f>2195862.04963/1000000</f>
        <v>2.1958620496299996</v>
      </c>
      <c r="F384" s="197"/>
      <c r="G384" s="82">
        <v>4</v>
      </c>
      <c r="H384" s="145">
        <f>E380</f>
        <v>0.160112521226</v>
      </c>
    </row>
    <row r="385" spans="1:10">
      <c r="A385" s="3" t="s">
        <v>24</v>
      </c>
      <c r="B385" s="27">
        <v>1</v>
      </c>
      <c r="C385" s="189">
        <v>15</v>
      </c>
      <c r="D385" s="12">
        <v>2</v>
      </c>
      <c r="E385" s="143">
        <f>13376523.5346/1000000</f>
        <v>13.3765235346</v>
      </c>
      <c r="F385" s="197"/>
      <c r="G385" s="81"/>
      <c r="H385" s="173"/>
    </row>
    <row r="386" spans="1:10" ht="15.75" thickBot="1">
      <c r="A386" s="29" t="s">
        <v>116</v>
      </c>
      <c r="B386" s="30">
        <v>1</v>
      </c>
      <c r="C386" s="188">
        <v>17</v>
      </c>
      <c r="D386" s="31">
        <v>3</v>
      </c>
      <c r="E386" s="144">
        <f>524714.027838/1000000</f>
        <v>0.52471402783800003</v>
      </c>
      <c r="F386" s="198"/>
      <c r="G386" s="77"/>
      <c r="H386" s="172"/>
    </row>
    <row r="387" spans="1:10" ht="15.75" thickTop="1">
      <c r="A387" s="5" t="s">
        <v>115</v>
      </c>
      <c r="B387" s="27">
        <v>0</v>
      </c>
      <c r="C387" s="189">
        <v>15</v>
      </c>
      <c r="D387" s="28">
        <v>2</v>
      </c>
      <c r="E387" s="143">
        <f>43798324.6785/1000000</f>
        <v>43.798324678499995</v>
      </c>
      <c r="F387" s="196" t="s">
        <v>200</v>
      </c>
      <c r="G387" s="76"/>
      <c r="H387" s="170"/>
    </row>
    <row r="388" spans="1:10" ht="15.75" thickBot="1">
      <c r="A388" s="3" t="s">
        <v>54</v>
      </c>
      <c r="B388" s="27">
        <v>1</v>
      </c>
      <c r="C388" s="189">
        <v>18</v>
      </c>
      <c r="D388" s="12">
        <v>3</v>
      </c>
      <c r="E388" s="143">
        <f>38501822.8638/1000000</f>
        <v>38.501822863799994</v>
      </c>
      <c r="F388" s="197"/>
      <c r="G388" s="81"/>
      <c r="H388" s="173"/>
    </row>
    <row r="389" spans="1:10" ht="15.75" thickBot="1">
      <c r="A389" s="3" t="s">
        <v>362</v>
      </c>
      <c r="B389" s="27">
        <v>0</v>
      </c>
      <c r="C389" s="189">
        <v>20</v>
      </c>
      <c r="D389" s="12">
        <v>3</v>
      </c>
      <c r="E389" s="143">
        <f>97722498.4173/1000000</f>
        <v>97.722498417300002</v>
      </c>
      <c r="F389" s="197"/>
      <c r="G389" s="82">
        <v>2</v>
      </c>
      <c r="H389" s="145">
        <f>E387+E391+E392</f>
        <v>73.98156844252</v>
      </c>
    </row>
    <row r="390" spans="1:10" ht="15.75" thickBot="1">
      <c r="A390" s="3" t="s">
        <v>65</v>
      </c>
      <c r="B390" s="27">
        <v>0</v>
      </c>
      <c r="C390" s="189">
        <v>25</v>
      </c>
      <c r="D390" s="12">
        <v>5</v>
      </c>
      <c r="E390" s="143">
        <f>1818627.90567/1000000</f>
        <v>1.8186279056700001</v>
      </c>
      <c r="F390" s="197"/>
      <c r="G390" s="81"/>
      <c r="H390" s="173"/>
    </row>
    <row r="391" spans="1:10" ht="15.75" thickBot="1">
      <c r="A391" s="3" t="s">
        <v>363</v>
      </c>
      <c r="B391" s="27">
        <v>2</v>
      </c>
      <c r="C391" s="189">
        <v>14</v>
      </c>
      <c r="D391" s="12">
        <v>2</v>
      </c>
      <c r="E391" s="143">
        <f>753756.28632/1000000</f>
        <v>0.75375628631999991</v>
      </c>
      <c r="F391" s="197"/>
      <c r="G391" s="82">
        <v>3</v>
      </c>
      <c r="H391" s="145">
        <f>E388+E389+E394+E395</f>
        <v>164.7370250800318</v>
      </c>
    </row>
    <row r="392" spans="1:10" ht="15.75" thickBot="1">
      <c r="A392" s="3" t="s">
        <v>59</v>
      </c>
      <c r="B392" s="27">
        <v>0</v>
      </c>
      <c r="C392" s="189">
        <v>15</v>
      </c>
      <c r="D392" s="12">
        <v>2</v>
      </c>
      <c r="E392" s="143">
        <f>29429487.4777/1000000</f>
        <v>29.4294874777</v>
      </c>
      <c r="F392" s="197"/>
      <c r="G392" s="81"/>
      <c r="H392" s="173"/>
    </row>
    <row r="393" spans="1:10" ht="15.75" thickBot="1">
      <c r="A393" s="3" t="s">
        <v>63</v>
      </c>
      <c r="B393" s="27">
        <v>3</v>
      </c>
      <c r="C393" s="189">
        <v>25</v>
      </c>
      <c r="D393" s="12">
        <v>5</v>
      </c>
      <c r="E393" s="143">
        <f>22069.5283696/1000000</f>
        <v>2.2069528369600001E-2</v>
      </c>
      <c r="F393" s="197"/>
      <c r="G393" s="82">
        <v>5</v>
      </c>
      <c r="H393" s="145">
        <f>E390+E393</f>
        <v>1.8406974340396001</v>
      </c>
      <c r="J393" s="51"/>
    </row>
    <row r="394" spans="1:10">
      <c r="A394" s="3" t="s">
        <v>114</v>
      </c>
      <c r="B394" s="27">
        <v>3</v>
      </c>
      <c r="C394" s="189">
        <v>17</v>
      </c>
      <c r="D394" s="12">
        <v>3</v>
      </c>
      <c r="E394" s="143">
        <f>28509753.0588/1000000</f>
        <v>28.509753058800001</v>
      </c>
      <c r="F394" s="197"/>
      <c r="G394" s="81"/>
      <c r="H394" s="173"/>
    </row>
    <row r="395" spans="1:10" ht="15.75" thickBot="1">
      <c r="A395" s="29" t="s">
        <v>80</v>
      </c>
      <c r="B395" s="30">
        <v>1</v>
      </c>
      <c r="C395" s="188">
        <v>18</v>
      </c>
      <c r="D395" s="31">
        <v>3</v>
      </c>
      <c r="E395" s="144">
        <f>2950.74013179/1000000</f>
        <v>2.9507401317899998E-3</v>
      </c>
      <c r="F395" s="198"/>
      <c r="G395" s="77"/>
      <c r="H395" s="172"/>
    </row>
    <row r="396" spans="1:10" ht="16.5" thickTop="1" thickBot="1">
      <c r="A396" s="5" t="s">
        <v>347</v>
      </c>
      <c r="B396" s="27">
        <v>1</v>
      </c>
      <c r="C396" s="189">
        <v>16</v>
      </c>
      <c r="D396" s="28">
        <v>2</v>
      </c>
      <c r="E396" s="143">
        <f>854619.506329/1000000</f>
        <v>0.85461950632899997</v>
      </c>
      <c r="F396" s="196" t="s">
        <v>201</v>
      </c>
      <c r="G396" s="76"/>
      <c r="H396" s="170"/>
    </row>
    <row r="397" spans="1:10" ht="15.75" thickBot="1">
      <c r="A397" s="3" t="s">
        <v>349</v>
      </c>
      <c r="B397" s="27">
        <v>1</v>
      </c>
      <c r="C397" s="189">
        <v>12</v>
      </c>
      <c r="D397" s="12">
        <v>1</v>
      </c>
      <c r="E397" s="143">
        <f>30854210.9655/1000000</f>
        <v>30.854210965500002</v>
      </c>
      <c r="F397" s="197"/>
      <c r="G397" s="82">
        <v>1</v>
      </c>
      <c r="H397" s="145">
        <f>E397+E399</f>
        <v>31.899260294220003</v>
      </c>
    </row>
    <row r="398" spans="1:10" ht="15.75" thickBot="1">
      <c r="A398" s="3" t="s">
        <v>91</v>
      </c>
      <c r="B398" s="27">
        <v>1</v>
      </c>
      <c r="C398" s="189">
        <v>18</v>
      </c>
      <c r="D398" s="12">
        <v>3</v>
      </c>
      <c r="E398" s="143">
        <f>170609.214175/1000000</f>
        <v>0.170609214175</v>
      </c>
      <c r="F398" s="197"/>
      <c r="G398" s="81"/>
      <c r="H398" s="173"/>
    </row>
    <row r="399" spans="1:10" ht="15.75" thickBot="1">
      <c r="A399" s="3" t="s">
        <v>341</v>
      </c>
      <c r="B399" s="27">
        <v>1</v>
      </c>
      <c r="C399" s="189">
        <v>13</v>
      </c>
      <c r="D399" s="12">
        <v>1</v>
      </c>
      <c r="E399" s="143">
        <f>1045049.32872/1000000</f>
        <v>1.04504932872</v>
      </c>
      <c r="F399" s="197"/>
      <c r="G399" s="82">
        <v>2</v>
      </c>
      <c r="H399" s="145">
        <f>E396</f>
        <v>0.85461950632899997</v>
      </c>
      <c r="J399" s="51"/>
    </row>
    <row r="400" spans="1:10" ht="15.75" thickBot="1">
      <c r="A400" s="3" t="s">
        <v>376</v>
      </c>
      <c r="B400" s="27">
        <v>1</v>
      </c>
      <c r="C400" s="189">
        <v>19</v>
      </c>
      <c r="D400" s="12">
        <v>3</v>
      </c>
      <c r="E400" s="143">
        <f>782392.927009/1000000</f>
        <v>0.78239292700899998</v>
      </c>
      <c r="F400" s="197"/>
      <c r="G400" s="81"/>
      <c r="H400" s="173"/>
      <c r="J400" s="51"/>
    </row>
    <row r="401" spans="1:10" ht="15.75" thickBot="1">
      <c r="A401" s="3" t="s">
        <v>351</v>
      </c>
      <c r="B401" s="27">
        <v>1</v>
      </c>
      <c r="C401" s="189">
        <v>22</v>
      </c>
      <c r="D401" s="12">
        <v>4</v>
      </c>
      <c r="E401" s="143">
        <f>104651.183463/1000000</f>
        <v>0.10465118346299999</v>
      </c>
      <c r="F401" s="197"/>
      <c r="G401" s="82">
        <v>3</v>
      </c>
      <c r="H401" s="145">
        <f>E398+E400+E404+E407</f>
        <v>5.9453787624240002</v>
      </c>
      <c r="J401" s="51"/>
    </row>
    <row r="402" spans="1:10" ht="15.75" thickBot="1">
      <c r="A402" s="3" t="s">
        <v>36</v>
      </c>
      <c r="B402" s="27">
        <v>1</v>
      </c>
      <c r="C402" s="189">
        <v>23</v>
      </c>
      <c r="D402" s="12">
        <v>5</v>
      </c>
      <c r="E402" s="143">
        <f>42203562.4498/1000000</f>
        <v>42.203562449799996</v>
      </c>
      <c r="F402" s="197"/>
      <c r="G402" s="81"/>
      <c r="H402" s="173"/>
      <c r="J402" s="51"/>
    </row>
    <row r="403" spans="1:10" ht="15.75" thickBot="1">
      <c r="A403" s="3" t="s">
        <v>327</v>
      </c>
      <c r="B403" s="27">
        <v>1</v>
      </c>
      <c r="C403" s="189">
        <v>22</v>
      </c>
      <c r="D403" s="12">
        <v>4</v>
      </c>
      <c r="E403" s="143">
        <f>16158872.9232/1000000</f>
        <v>16.158872923200001</v>
      </c>
      <c r="F403" s="197"/>
      <c r="G403" s="82">
        <v>4</v>
      </c>
      <c r="H403" s="145">
        <f>E401+E403+E405+E406</f>
        <v>65.845739421463009</v>
      </c>
      <c r="J403" s="51"/>
    </row>
    <row r="404" spans="1:10" ht="15.75" thickBot="1">
      <c r="A404" s="3" t="s">
        <v>116</v>
      </c>
      <c r="B404" s="27">
        <v>1</v>
      </c>
      <c r="C404" s="189">
        <v>17</v>
      </c>
      <c r="D404" s="12">
        <v>3</v>
      </c>
      <c r="E404" s="143">
        <f>3893050.92798/1000000</f>
        <v>3.8930509279800001</v>
      </c>
      <c r="F404" s="197"/>
      <c r="G404" s="81"/>
      <c r="H404" s="173"/>
    </row>
    <row r="405" spans="1:10" ht="15.75" thickBot="1">
      <c r="A405" s="3" t="s">
        <v>117</v>
      </c>
      <c r="B405" s="27">
        <v>2</v>
      </c>
      <c r="C405" s="189">
        <v>20</v>
      </c>
      <c r="D405" s="12">
        <v>4</v>
      </c>
      <c r="E405" s="143">
        <f>27959961.6754/1000000</f>
        <v>27.959961675399999</v>
      </c>
      <c r="F405" s="197"/>
      <c r="G405" s="82">
        <v>5</v>
      </c>
      <c r="H405" s="145">
        <f>E402</f>
        <v>42.203562449799996</v>
      </c>
    </row>
    <row r="406" spans="1:10">
      <c r="A406" s="3" t="s">
        <v>328</v>
      </c>
      <c r="B406" s="27">
        <v>1</v>
      </c>
      <c r="C406" s="189">
        <v>22</v>
      </c>
      <c r="D406" s="12">
        <v>4</v>
      </c>
      <c r="E406" s="143">
        <f>21622253.6394/1000000</f>
        <v>21.6222536394</v>
      </c>
      <c r="F406" s="197"/>
      <c r="G406" s="81"/>
      <c r="H406" s="173"/>
    </row>
    <row r="407" spans="1:10" ht="15.75" thickBot="1">
      <c r="A407" s="29" t="s">
        <v>56</v>
      </c>
      <c r="B407" s="30">
        <v>1</v>
      </c>
      <c r="C407" s="188">
        <v>17</v>
      </c>
      <c r="D407" s="31">
        <v>3</v>
      </c>
      <c r="E407" s="144">
        <f>1099325.69326/1000000</f>
        <v>1.0993256932600002</v>
      </c>
      <c r="F407" s="198"/>
      <c r="G407" s="77"/>
      <c r="H407" s="172"/>
    </row>
    <row r="408" spans="1:10" ht="16.5" thickTop="1" thickBot="1">
      <c r="A408" s="5" t="s">
        <v>384</v>
      </c>
      <c r="B408" s="27">
        <v>1</v>
      </c>
      <c r="C408" s="189">
        <v>11</v>
      </c>
      <c r="D408" s="28">
        <v>1</v>
      </c>
      <c r="E408" s="143">
        <f>26196.9235932/1000000</f>
        <v>2.61969235932E-2</v>
      </c>
      <c r="F408" s="196" t="s">
        <v>202</v>
      </c>
      <c r="G408" s="88"/>
      <c r="H408" s="176"/>
    </row>
    <row r="409" spans="1:10" ht="15.75" thickBot="1">
      <c r="A409" s="3" t="s">
        <v>337</v>
      </c>
      <c r="B409" s="27">
        <v>1</v>
      </c>
      <c r="C409" s="189">
        <v>12</v>
      </c>
      <c r="D409" s="28">
        <v>1</v>
      </c>
      <c r="E409" s="143">
        <f>17800241.7938/1000000</f>
        <v>17.800241793800001</v>
      </c>
      <c r="F409" s="196"/>
      <c r="G409" s="82">
        <v>1</v>
      </c>
      <c r="H409" s="177">
        <f>E408+E409</f>
        <v>17.826438717393202</v>
      </c>
    </row>
    <row r="410" spans="1:10" ht="15.75" thickBot="1">
      <c r="A410" s="3" t="s">
        <v>33</v>
      </c>
      <c r="B410" s="27">
        <v>2</v>
      </c>
      <c r="C410" s="189">
        <v>19</v>
      </c>
      <c r="D410" s="28">
        <v>4</v>
      </c>
      <c r="E410" s="143">
        <f>314985.334521/1000000</f>
        <v>0.31498533452099997</v>
      </c>
      <c r="F410" s="196"/>
      <c r="G410" s="82">
        <v>2</v>
      </c>
      <c r="H410" s="177">
        <f>E412+E413+E414</f>
        <v>201.36322440633577</v>
      </c>
    </row>
    <row r="411" spans="1:10" ht="15.75" thickBot="1">
      <c r="A411" s="3" t="s">
        <v>340</v>
      </c>
      <c r="B411" s="27">
        <v>3</v>
      </c>
      <c r="C411" s="189">
        <v>15</v>
      </c>
      <c r="D411" s="28">
        <v>3</v>
      </c>
      <c r="E411" s="143">
        <f>51060600.0261/1000000</f>
        <v>51.060600026100005</v>
      </c>
      <c r="F411" s="196"/>
      <c r="G411" s="82">
        <v>3</v>
      </c>
      <c r="H411" s="177">
        <f>E411</f>
        <v>51.060600026100005</v>
      </c>
    </row>
    <row r="412" spans="1:10" ht="15.75" thickBot="1">
      <c r="A412" s="3" t="s">
        <v>385</v>
      </c>
      <c r="B412" s="27">
        <v>3</v>
      </c>
      <c r="C412" s="189">
        <v>13</v>
      </c>
      <c r="D412" s="28">
        <v>2</v>
      </c>
      <c r="E412" s="143">
        <f>201340747.401/1000000</f>
        <v>201.34074740099999</v>
      </c>
      <c r="F412" s="196"/>
      <c r="G412" s="82">
        <v>4</v>
      </c>
      <c r="H412" s="177">
        <f>E410</f>
        <v>0.31498533452099997</v>
      </c>
    </row>
    <row r="413" spans="1:10" ht="15.75" thickBot="1">
      <c r="A413" s="3" t="s">
        <v>379</v>
      </c>
      <c r="B413" s="27">
        <v>3</v>
      </c>
      <c r="C413" s="189">
        <v>13</v>
      </c>
      <c r="D413" s="28">
        <v>2</v>
      </c>
      <c r="E413" s="143">
        <f>36.903728197/1000000</f>
        <v>3.6903728197000003E-5</v>
      </c>
      <c r="F413" s="196"/>
      <c r="G413" s="82">
        <v>5</v>
      </c>
      <c r="H413" s="177">
        <f>E415</f>
        <v>9.9388961311299998E-2</v>
      </c>
    </row>
    <row r="414" spans="1:10">
      <c r="A414" s="3" t="s">
        <v>99</v>
      </c>
      <c r="B414" s="27">
        <v>1</v>
      </c>
      <c r="C414" s="189">
        <v>14</v>
      </c>
      <c r="D414" s="12">
        <v>2</v>
      </c>
      <c r="E414" s="143">
        <f>22440.1016076/1000000</f>
        <v>2.2440101607600002E-2</v>
      </c>
      <c r="F414" s="197"/>
      <c r="G414" s="89"/>
      <c r="H414" s="178"/>
      <c r="J414" s="51"/>
    </row>
    <row r="415" spans="1:10" ht="15.75" thickBot="1">
      <c r="A415" s="29" t="s">
        <v>108</v>
      </c>
      <c r="B415" s="30">
        <v>2</v>
      </c>
      <c r="C415" s="188">
        <v>22</v>
      </c>
      <c r="D415" s="31">
        <v>5</v>
      </c>
      <c r="E415" s="144">
        <f>99388.9613113/1000000</f>
        <v>9.9388961311299998E-2</v>
      </c>
      <c r="F415" s="198"/>
      <c r="G415" s="90"/>
      <c r="H415" s="179"/>
    </row>
    <row r="416" spans="1:10" ht="16.5" thickTop="1" thickBot="1">
      <c r="A416" s="5" t="s">
        <v>16</v>
      </c>
      <c r="B416" s="27">
        <v>1</v>
      </c>
      <c r="C416" s="189">
        <v>14</v>
      </c>
      <c r="D416" s="28">
        <v>2</v>
      </c>
      <c r="E416" s="143">
        <f>13316096.6202/1000000</f>
        <v>13.316096620200002</v>
      </c>
      <c r="F416" s="196" t="s">
        <v>203</v>
      </c>
      <c r="G416" s="76"/>
      <c r="H416" s="170"/>
    </row>
    <row r="417" spans="1:10" ht="15.75" thickBot="1">
      <c r="A417" s="3" t="s">
        <v>63</v>
      </c>
      <c r="B417" s="27">
        <v>3</v>
      </c>
      <c r="C417" s="189">
        <v>25</v>
      </c>
      <c r="D417" s="28">
        <v>5</v>
      </c>
      <c r="E417" s="143">
        <f>283732.141701/1000000</f>
        <v>0.28373214170099997</v>
      </c>
      <c r="F417" s="196"/>
      <c r="G417" s="82">
        <v>2</v>
      </c>
      <c r="H417" s="145">
        <f>E416+E419+E421+E422</f>
        <v>32.557234584177998</v>
      </c>
    </row>
    <row r="418" spans="1:10" ht="15.75" thickBot="1">
      <c r="A418" s="3" t="s">
        <v>114</v>
      </c>
      <c r="B418" s="27">
        <v>3</v>
      </c>
      <c r="C418" s="189">
        <v>17</v>
      </c>
      <c r="D418" s="28">
        <v>3</v>
      </c>
      <c r="E418" s="143">
        <f>486298.870002/1000000</f>
        <v>0.48629887000200001</v>
      </c>
      <c r="F418" s="196"/>
      <c r="G418" s="82">
        <v>3</v>
      </c>
      <c r="H418" s="145">
        <f>E418</f>
        <v>0.48629887000200001</v>
      </c>
    </row>
    <row r="419" spans="1:10" ht="15.75" thickBot="1">
      <c r="A419" s="3" t="s">
        <v>15</v>
      </c>
      <c r="B419" s="27">
        <v>1</v>
      </c>
      <c r="C419" s="189">
        <v>15</v>
      </c>
      <c r="D419" s="28">
        <v>2</v>
      </c>
      <c r="E419" s="143">
        <f>58491.477035/1000000</f>
        <v>5.8491477035000003E-2</v>
      </c>
      <c r="F419" s="196"/>
      <c r="G419" s="82">
        <v>4</v>
      </c>
      <c r="H419" s="145">
        <f>E420</f>
        <v>41.035683110299999</v>
      </c>
    </row>
    <row r="420" spans="1:10" ht="15.75" thickBot="1">
      <c r="A420" s="3" t="s">
        <v>18</v>
      </c>
      <c r="B420" s="27">
        <v>3</v>
      </c>
      <c r="C420" s="189">
        <v>19</v>
      </c>
      <c r="D420" s="28">
        <v>4</v>
      </c>
      <c r="E420" s="143">
        <f>41035683.1103/1000000</f>
        <v>41.035683110299999</v>
      </c>
      <c r="F420" s="196"/>
      <c r="G420" s="82">
        <v>5</v>
      </c>
      <c r="H420" s="145">
        <f>E417</f>
        <v>0.28373214170099997</v>
      </c>
    </row>
    <row r="421" spans="1:10">
      <c r="A421" s="3" t="s">
        <v>118</v>
      </c>
      <c r="B421" s="27">
        <v>1</v>
      </c>
      <c r="C421" s="189">
        <v>14</v>
      </c>
      <c r="D421" s="12">
        <v>2</v>
      </c>
      <c r="E421" s="143">
        <f>19036397.3351/1000000</f>
        <v>19.036397335099998</v>
      </c>
      <c r="F421" s="197"/>
      <c r="G421" s="81"/>
      <c r="H421" s="173"/>
      <c r="J421" s="51"/>
    </row>
    <row r="422" spans="1:10" ht="15.75" thickBot="1">
      <c r="A422" s="29" t="s">
        <v>79</v>
      </c>
      <c r="B422" s="30">
        <v>1</v>
      </c>
      <c r="C422" s="188">
        <v>14</v>
      </c>
      <c r="D422" s="31">
        <v>2</v>
      </c>
      <c r="E422" s="144">
        <f>146249.151843/1000000</f>
        <v>0.146249151843</v>
      </c>
      <c r="F422" s="198"/>
      <c r="G422" s="77"/>
      <c r="H422" s="172"/>
    </row>
    <row r="423" spans="1:10" ht="15.75" thickTop="1">
      <c r="A423" s="5" t="s">
        <v>16</v>
      </c>
      <c r="B423" s="27">
        <v>1</v>
      </c>
      <c r="C423" s="189">
        <v>14</v>
      </c>
      <c r="D423" s="28">
        <v>2</v>
      </c>
      <c r="E423" s="143">
        <f>23723419.453/1000000</f>
        <v>23.723419453000002</v>
      </c>
      <c r="F423" s="196" t="s">
        <v>204</v>
      </c>
      <c r="G423" s="76"/>
      <c r="H423" s="170"/>
    </row>
    <row r="424" spans="1:10" ht="15.75" thickBot="1">
      <c r="A424" s="3" t="s">
        <v>119</v>
      </c>
      <c r="B424" s="27">
        <v>1</v>
      </c>
      <c r="C424" s="189">
        <v>15</v>
      </c>
      <c r="D424" s="12">
        <v>2</v>
      </c>
      <c r="E424" s="143">
        <f>36616741.4809/1000000</f>
        <v>36.616741480899996</v>
      </c>
      <c r="F424" s="197"/>
      <c r="G424" s="81"/>
      <c r="H424" s="173"/>
    </row>
    <row r="425" spans="1:10" ht="15.75" thickBot="1">
      <c r="A425" s="3" t="s">
        <v>46</v>
      </c>
      <c r="B425" s="27">
        <v>1</v>
      </c>
      <c r="C425" s="189">
        <v>15</v>
      </c>
      <c r="D425" s="12">
        <v>2</v>
      </c>
      <c r="E425" s="143">
        <f>5147033.36857/1000000</f>
        <v>5.1470333685699998</v>
      </c>
      <c r="F425" s="197"/>
      <c r="G425" s="82">
        <v>2</v>
      </c>
      <c r="H425" s="145">
        <f>E423+E424+E425+E426+E430+E431</f>
        <v>75.134902093809998</v>
      </c>
    </row>
    <row r="426" spans="1:10">
      <c r="A426" s="3" t="s">
        <v>350</v>
      </c>
      <c r="B426" s="27">
        <v>1</v>
      </c>
      <c r="C426" s="189">
        <v>16</v>
      </c>
      <c r="D426" s="12">
        <v>2</v>
      </c>
      <c r="E426" s="143">
        <f>2715334.41507/1000000</f>
        <v>2.7153344150700001</v>
      </c>
      <c r="F426" s="197"/>
      <c r="G426" s="81"/>
      <c r="H426" s="173"/>
    </row>
    <row r="427" spans="1:10" ht="15.75" thickBot="1">
      <c r="A427" s="3" t="s">
        <v>372</v>
      </c>
      <c r="B427" s="27">
        <v>1</v>
      </c>
      <c r="C427" s="189">
        <v>21</v>
      </c>
      <c r="D427" s="12">
        <v>4</v>
      </c>
      <c r="E427" s="143">
        <f>21597631.0022/1000000</f>
        <v>21.5976310022</v>
      </c>
      <c r="F427" s="197"/>
      <c r="G427" s="81"/>
      <c r="H427" s="173"/>
      <c r="J427" s="51"/>
    </row>
    <row r="428" spans="1:10" ht="15.75" thickBot="1">
      <c r="A428" s="3" t="s">
        <v>321</v>
      </c>
      <c r="B428" s="27">
        <v>1</v>
      </c>
      <c r="C428" s="189">
        <v>22</v>
      </c>
      <c r="D428" s="12">
        <v>4</v>
      </c>
      <c r="E428" s="143">
        <f>21805200.9677/1000000</f>
        <v>21.805200967699999</v>
      </c>
      <c r="F428" s="197"/>
      <c r="G428" s="82">
        <v>4</v>
      </c>
      <c r="H428" s="145">
        <f>E427+E429+E428</f>
        <v>63.642512596900005</v>
      </c>
    </row>
    <row r="429" spans="1:10">
      <c r="A429" s="3" t="s">
        <v>49</v>
      </c>
      <c r="B429" s="27">
        <v>1</v>
      </c>
      <c r="C429" s="189">
        <v>20</v>
      </c>
      <c r="D429" s="12">
        <v>4</v>
      </c>
      <c r="E429" s="143">
        <f>20239680.627/1000000</f>
        <v>20.239680627000002</v>
      </c>
      <c r="F429" s="197"/>
      <c r="G429" s="81"/>
      <c r="H429" s="173"/>
    </row>
    <row r="430" spans="1:10">
      <c r="A430" s="3" t="s">
        <v>79</v>
      </c>
      <c r="B430" s="27">
        <v>1</v>
      </c>
      <c r="C430" s="189">
        <v>14</v>
      </c>
      <c r="D430" s="12">
        <v>2</v>
      </c>
      <c r="E430" s="143">
        <f>5801884.53562/1000000</f>
        <v>5.8018845356200002</v>
      </c>
      <c r="F430" s="197"/>
      <c r="G430" s="81"/>
      <c r="H430" s="173"/>
    </row>
    <row r="431" spans="1:10" ht="15.75" thickBot="1">
      <c r="A431" s="29" t="s">
        <v>359</v>
      </c>
      <c r="B431" s="30">
        <v>1</v>
      </c>
      <c r="C431" s="188">
        <v>16</v>
      </c>
      <c r="D431" s="31">
        <v>2</v>
      </c>
      <c r="E431" s="144">
        <f>1130488.84065/1000000</f>
        <v>1.13048884065</v>
      </c>
      <c r="F431" s="198"/>
      <c r="G431" s="77"/>
      <c r="H431" s="172"/>
    </row>
    <row r="432" spans="1:10" ht="16.5" thickTop="1" thickBot="1">
      <c r="A432" s="5" t="s">
        <v>113</v>
      </c>
      <c r="B432" s="27">
        <v>1</v>
      </c>
      <c r="C432" s="189">
        <v>14</v>
      </c>
      <c r="D432" s="28">
        <v>2</v>
      </c>
      <c r="E432" s="143">
        <f>265993.895747/1000000</f>
        <v>0.265993895747</v>
      </c>
      <c r="F432" s="196" t="s">
        <v>205</v>
      </c>
      <c r="G432" s="76"/>
      <c r="H432" s="170"/>
    </row>
    <row r="433" spans="1:10" ht="15.75" thickBot="1">
      <c r="A433" s="3" t="s">
        <v>317</v>
      </c>
      <c r="B433" s="27">
        <v>2</v>
      </c>
      <c r="C433" s="189">
        <v>15</v>
      </c>
      <c r="D433" s="12">
        <v>2</v>
      </c>
      <c r="E433" s="143">
        <f>59404620.3358/1000000</f>
        <v>59.404620335799997</v>
      </c>
      <c r="F433" s="197"/>
      <c r="G433" s="82">
        <v>2</v>
      </c>
      <c r="H433" s="145">
        <f>E432+E433+E434+E439</f>
        <v>69.851746766526091</v>
      </c>
    </row>
    <row r="434" spans="1:10" ht="15.75" thickBot="1">
      <c r="A434" s="3" t="s">
        <v>11</v>
      </c>
      <c r="B434" s="27">
        <v>1</v>
      </c>
      <c r="C434" s="189">
        <v>15</v>
      </c>
      <c r="D434" s="12">
        <v>2</v>
      </c>
      <c r="E434" s="143">
        <f>10099596.8224/1000000</f>
        <v>10.099596822400001</v>
      </c>
      <c r="F434" s="197"/>
      <c r="G434" s="81"/>
      <c r="H434" s="173"/>
    </row>
    <row r="435" spans="1:10" ht="15.75" thickBot="1">
      <c r="A435" s="3" t="s">
        <v>386</v>
      </c>
      <c r="B435" s="27">
        <v>3</v>
      </c>
      <c r="C435" s="189">
        <v>16</v>
      </c>
      <c r="D435" s="12">
        <v>3</v>
      </c>
      <c r="E435" s="143">
        <f>22422942.8063/1000000</f>
        <v>22.4229428063</v>
      </c>
      <c r="F435" s="197"/>
      <c r="G435" s="82">
        <v>3</v>
      </c>
      <c r="H435" s="145">
        <f>E435+E440+E441</f>
        <v>23.499193357077999</v>
      </c>
    </row>
    <row r="436" spans="1:10" ht="15.75" thickBot="1">
      <c r="A436" s="3" t="s">
        <v>120</v>
      </c>
      <c r="B436" s="27">
        <v>1</v>
      </c>
      <c r="C436" s="189">
        <v>20</v>
      </c>
      <c r="D436" s="12">
        <v>4</v>
      </c>
      <c r="E436" s="143">
        <f>43010441.5368/1000000</f>
        <v>43.010441536799995</v>
      </c>
      <c r="F436" s="197"/>
      <c r="G436" s="81"/>
      <c r="H436" s="173"/>
    </row>
    <row r="437" spans="1:10" ht="15.75" thickBot="1">
      <c r="A437" s="3" t="s">
        <v>39</v>
      </c>
      <c r="B437" s="27">
        <v>1</v>
      </c>
      <c r="C437" s="189">
        <v>20</v>
      </c>
      <c r="D437" s="12">
        <v>4</v>
      </c>
      <c r="E437" s="143">
        <f>21118615.7607/1000000</f>
        <v>21.118615760699999</v>
      </c>
      <c r="F437" s="197"/>
      <c r="G437" s="82">
        <v>4</v>
      </c>
      <c r="H437" s="145">
        <f>E436+E437</f>
        <v>64.129057297499998</v>
      </c>
    </row>
    <row r="438" spans="1:10" ht="15.75" thickBot="1">
      <c r="A438" s="3" t="s">
        <v>150</v>
      </c>
      <c r="B438" s="27">
        <v>2</v>
      </c>
      <c r="C438" s="189">
        <v>22</v>
      </c>
      <c r="D438" s="12">
        <v>5</v>
      </c>
      <c r="E438" s="143">
        <f>1067263.13678/1000000</f>
        <v>1.0672631367800001</v>
      </c>
      <c r="F438" s="197"/>
      <c r="G438" s="81"/>
      <c r="H438" s="173"/>
    </row>
    <row r="439" spans="1:10" ht="15.75" thickBot="1">
      <c r="A439" s="3" t="s">
        <v>9</v>
      </c>
      <c r="B439" s="27">
        <v>1</v>
      </c>
      <c r="C439" s="189">
        <v>14</v>
      </c>
      <c r="D439" s="12">
        <v>2</v>
      </c>
      <c r="E439" s="143">
        <f>81535.7125791/1000000</f>
        <v>8.15357125791E-2</v>
      </c>
      <c r="F439" s="197"/>
      <c r="G439" s="82">
        <v>5</v>
      </c>
      <c r="H439" s="145">
        <f>E438</f>
        <v>1.0672631367800001</v>
      </c>
      <c r="J439" s="51"/>
    </row>
    <row r="440" spans="1:10">
      <c r="A440" s="3" t="s">
        <v>10</v>
      </c>
      <c r="B440" s="27">
        <v>1</v>
      </c>
      <c r="C440" s="189">
        <v>17</v>
      </c>
      <c r="D440" s="12">
        <v>3</v>
      </c>
      <c r="E440" s="143">
        <f>193681.987773/1000000</f>
        <v>0.193681987773</v>
      </c>
      <c r="F440" s="197"/>
      <c r="G440" s="81"/>
      <c r="H440" s="173"/>
    </row>
    <row r="441" spans="1:10" ht="15.75" thickBot="1">
      <c r="A441" s="29" t="s">
        <v>37</v>
      </c>
      <c r="B441" s="30">
        <v>1</v>
      </c>
      <c r="C441" s="188">
        <v>18</v>
      </c>
      <c r="D441" s="31">
        <v>3</v>
      </c>
      <c r="E441" s="144">
        <f>882568.563005/1000000</f>
        <v>0.88256856300499997</v>
      </c>
      <c r="F441" s="198"/>
      <c r="G441" s="77"/>
      <c r="H441" s="172"/>
    </row>
    <row r="442" spans="1:10" ht="16.5" thickTop="1" thickBot="1">
      <c r="A442" s="5" t="s">
        <v>22</v>
      </c>
      <c r="B442" s="27">
        <v>4</v>
      </c>
      <c r="C442" s="189">
        <v>16</v>
      </c>
      <c r="D442" s="28">
        <v>3</v>
      </c>
      <c r="E442" s="143">
        <f>21223271.6771/1000000</f>
        <v>21.223271677099998</v>
      </c>
      <c r="F442" s="196" t="s">
        <v>206</v>
      </c>
      <c r="G442" s="76"/>
      <c r="H442" s="170"/>
    </row>
    <row r="443" spans="1:10" ht="15.75" thickBot="1">
      <c r="A443" s="3" t="s">
        <v>23</v>
      </c>
      <c r="B443" s="27">
        <v>2</v>
      </c>
      <c r="C443" s="189">
        <v>17</v>
      </c>
      <c r="D443" s="12">
        <v>3</v>
      </c>
      <c r="E443" s="143">
        <f>17561.643089/1000000</f>
        <v>1.7561643089E-2</v>
      </c>
      <c r="F443" s="197"/>
      <c r="G443" s="82">
        <v>3</v>
      </c>
      <c r="H443" s="145">
        <f>E442+E443+E445+E448</f>
        <v>38.591423754788998</v>
      </c>
    </row>
    <row r="444" spans="1:10" ht="15.75" thickBot="1">
      <c r="A444" s="3" t="s">
        <v>47</v>
      </c>
      <c r="B444" s="27">
        <v>2</v>
      </c>
      <c r="C444" s="189">
        <v>23</v>
      </c>
      <c r="D444" s="12">
        <v>5</v>
      </c>
      <c r="E444" s="143">
        <f>30571490.8696/1000000</f>
        <v>30.571490869600002</v>
      </c>
      <c r="F444" s="197"/>
      <c r="G444" s="81"/>
      <c r="H444" s="173"/>
      <c r="J444" s="51"/>
    </row>
    <row r="445" spans="1:10" ht="15.75" thickBot="1">
      <c r="A445" s="3" t="s">
        <v>48</v>
      </c>
      <c r="B445" s="27">
        <v>1</v>
      </c>
      <c r="C445" s="189">
        <v>17</v>
      </c>
      <c r="D445" s="12">
        <v>3</v>
      </c>
      <c r="E445" s="143">
        <f>4688042.0587/1000000</f>
        <v>4.6880420586999998</v>
      </c>
      <c r="F445" s="197"/>
      <c r="G445" s="82">
        <v>4</v>
      </c>
      <c r="H445" s="145">
        <f>E446+E447</f>
        <v>39.446511208839993</v>
      </c>
    </row>
    <row r="446" spans="1:10" ht="15.75" thickBot="1">
      <c r="A446" s="3" t="s">
        <v>20</v>
      </c>
      <c r="B446" s="27">
        <v>1</v>
      </c>
      <c r="C446" s="189">
        <v>20</v>
      </c>
      <c r="D446" s="12">
        <v>4</v>
      </c>
      <c r="E446" s="143">
        <f>37658340.6099/1000000</f>
        <v>37.658340609899994</v>
      </c>
      <c r="F446" s="197"/>
      <c r="G446" s="81"/>
      <c r="H446" s="173"/>
    </row>
    <row r="447" spans="1:10" ht="15.75" thickBot="1">
      <c r="A447" s="3" t="s">
        <v>328</v>
      </c>
      <c r="B447" s="27">
        <v>1</v>
      </c>
      <c r="C447" s="189">
        <v>22</v>
      </c>
      <c r="D447" s="12">
        <v>4</v>
      </c>
      <c r="E447" s="143">
        <f>1788170.59894/1000000</f>
        <v>1.7881705989399999</v>
      </c>
      <c r="F447" s="197"/>
      <c r="G447" s="82">
        <v>5</v>
      </c>
      <c r="H447" s="145">
        <f>E444</f>
        <v>30.571490869600002</v>
      </c>
    </row>
    <row r="448" spans="1:10" ht="15.75" thickBot="1">
      <c r="A448" s="29" t="s">
        <v>56</v>
      </c>
      <c r="B448" s="30">
        <v>1</v>
      </c>
      <c r="C448" s="188">
        <v>17</v>
      </c>
      <c r="D448" s="31">
        <v>3</v>
      </c>
      <c r="E448" s="144">
        <f>12662548.3759/1000000</f>
        <v>12.6625483759</v>
      </c>
      <c r="F448" s="204"/>
      <c r="G448" s="77"/>
      <c r="H448" s="172"/>
    </row>
    <row r="449" spans="1:10" ht="15.75" thickTop="1">
      <c r="A449" s="5" t="s">
        <v>323</v>
      </c>
      <c r="B449" s="27">
        <v>1</v>
      </c>
      <c r="C449" s="189">
        <v>19</v>
      </c>
      <c r="D449" s="12">
        <v>3</v>
      </c>
      <c r="E449" s="143">
        <f>717591.939278/1000000</f>
        <v>0.71759193927800002</v>
      </c>
      <c r="F449" s="201" t="s">
        <v>207</v>
      </c>
      <c r="G449" s="76"/>
      <c r="H449" s="170"/>
    </row>
    <row r="450" spans="1:10" ht="15.75" thickBot="1">
      <c r="A450" s="3" t="s">
        <v>121</v>
      </c>
      <c r="B450" s="27">
        <v>1</v>
      </c>
      <c r="C450" s="189">
        <v>20</v>
      </c>
      <c r="D450" s="12">
        <v>4</v>
      </c>
      <c r="E450" s="143">
        <f>41116767.5806/1000000</f>
        <v>41.116767580599998</v>
      </c>
      <c r="F450" s="202"/>
      <c r="G450" s="81"/>
      <c r="H450" s="173"/>
    </row>
    <row r="451" spans="1:10" ht="15.75" thickBot="1">
      <c r="A451" s="3" t="s">
        <v>113</v>
      </c>
      <c r="B451" s="27">
        <v>1</v>
      </c>
      <c r="C451" s="189">
        <v>14</v>
      </c>
      <c r="D451" s="12">
        <v>2</v>
      </c>
      <c r="E451" s="143">
        <f>39506194.527/1000000</f>
        <v>39.506194527000005</v>
      </c>
      <c r="F451" s="202"/>
      <c r="G451" s="82">
        <v>2</v>
      </c>
      <c r="H451" s="145">
        <f>E451+E452+E455</f>
        <v>49.33608093794561</v>
      </c>
      <c r="J451" s="51"/>
    </row>
    <row r="452" spans="1:10" ht="15.75" thickBot="1">
      <c r="A452" s="3" t="s">
        <v>317</v>
      </c>
      <c r="B452" s="27">
        <v>2</v>
      </c>
      <c r="C452" s="189">
        <v>15</v>
      </c>
      <c r="D452" s="12">
        <v>2</v>
      </c>
      <c r="E452" s="143">
        <f>3069.77638561/1000000</f>
        <v>3.0697763856099998E-3</v>
      </c>
      <c r="F452" s="202"/>
      <c r="G452" s="81"/>
      <c r="H452" s="173"/>
      <c r="J452" s="51"/>
    </row>
    <row r="453" spans="1:10" ht="15.75" thickBot="1">
      <c r="A453" s="3" t="s">
        <v>386</v>
      </c>
      <c r="B453" s="27">
        <v>3</v>
      </c>
      <c r="C453" s="189">
        <v>16</v>
      </c>
      <c r="D453" s="12">
        <v>3</v>
      </c>
      <c r="E453" s="143">
        <f>48315682.5927/1000000</f>
        <v>48.3156825927</v>
      </c>
      <c r="F453" s="202"/>
      <c r="G453" s="82">
        <v>3</v>
      </c>
      <c r="H453" s="145">
        <f>E449+E453+E457</f>
        <v>50.118270868218005</v>
      </c>
      <c r="J453" s="51"/>
    </row>
    <row r="454" spans="1:10" ht="15.75" thickBot="1">
      <c r="A454" s="3" t="s">
        <v>42</v>
      </c>
      <c r="B454" s="27">
        <v>1</v>
      </c>
      <c r="C454" s="189">
        <v>20</v>
      </c>
      <c r="D454" s="12">
        <v>4</v>
      </c>
      <c r="E454" s="143">
        <f>11879849.4838/1000000</f>
        <v>11.879849483799999</v>
      </c>
      <c r="F454" s="202"/>
      <c r="G454" s="81"/>
      <c r="H454" s="173"/>
      <c r="J454" s="51"/>
    </row>
    <row r="455" spans="1:10" ht="15.75" thickBot="1">
      <c r="A455" s="3" t="s">
        <v>38</v>
      </c>
      <c r="B455" s="27">
        <v>1</v>
      </c>
      <c r="C455" s="189">
        <v>14</v>
      </c>
      <c r="D455" s="12">
        <v>2</v>
      </c>
      <c r="E455" s="143">
        <f>9826816.63456/1000000</f>
        <v>9.8268166345600001</v>
      </c>
      <c r="F455" s="202"/>
      <c r="G455" s="82">
        <v>4</v>
      </c>
      <c r="H455" s="145">
        <f>E450+E454+E456</f>
        <v>55.05336847025</v>
      </c>
    </row>
    <row r="456" spans="1:10">
      <c r="A456" s="3" t="s">
        <v>39</v>
      </c>
      <c r="B456" s="27">
        <v>1</v>
      </c>
      <c r="C456" s="189">
        <v>20</v>
      </c>
      <c r="D456" s="12">
        <v>4</v>
      </c>
      <c r="E456" s="143">
        <f>2056751.40585/1000000</f>
        <v>2.05675140585</v>
      </c>
      <c r="F456" s="202"/>
      <c r="G456" s="81"/>
      <c r="H456" s="173"/>
    </row>
    <row r="457" spans="1:10" ht="15.75" thickBot="1">
      <c r="A457" s="29" t="s">
        <v>116</v>
      </c>
      <c r="B457" s="30">
        <v>1</v>
      </c>
      <c r="C457" s="188">
        <v>17</v>
      </c>
      <c r="D457" s="31">
        <v>3</v>
      </c>
      <c r="E457" s="144">
        <f>1084996.33624/1000000</f>
        <v>1.0849963362400001</v>
      </c>
      <c r="F457" s="203"/>
      <c r="G457" s="77"/>
      <c r="H457" s="172"/>
    </row>
    <row r="458" spans="1:10" ht="16.5" thickTop="1" thickBot="1">
      <c r="A458" s="5" t="s">
        <v>384</v>
      </c>
      <c r="B458" s="27">
        <v>1</v>
      </c>
      <c r="C458" s="189">
        <v>11</v>
      </c>
      <c r="D458" s="12">
        <v>1</v>
      </c>
      <c r="E458" s="143">
        <f>71989593.3359/1000000</f>
        <v>71.989593335899997</v>
      </c>
      <c r="F458" s="196" t="s">
        <v>208</v>
      </c>
      <c r="G458" s="76"/>
      <c r="H458" s="170"/>
    </row>
    <row r="459" spans="1:10" ht="15.75" thickBot="1">
      <c r="A459" s="3" t="s">
        <v>335</v>
      </c>
      <c r="B459" s="27">
        <v>1</v>
      </c>
      <c r="C459" s="189">
        <v>16</v>
      </c>
      <c r="D459" s="12">
        <v>2</v>
      </c>
      <c r="E459" s="143">
        <f>14297.7648055/1000000</f>
        <v>1.4297764805500001E-2</v>
      </c>
      <c r="F459" s="197"/>
      <c r="G459" s="82">
        <v>1</v>
      </c>
      <c r="H459" s="145">
        <f>E458+E460</f>
        <v>123.0060376906</v>
      </c>
    </row>
    <row r="460" spans="1:10" ht="15.75" thickBot="1">
      <c r="A460" s="3" t="s">
        <v>337</v>
      </c>
      <c r="B460" s="27">
        <v>1</v>
      </c>
      <c r="C460" s="189">
        <v>12</v>
      </c>
      <c r="D460" s="12">
        <v>1</v>
      </c>
      <c r="E460" s="143">
        <f>51016444.3547/1000000</f>
        <v>51.016444354699999</v>
      </c>
      <c r="F460" s="197"/>
      <c r="G460" s="81"/>
      <c r="H460" s="173"/>
      <c r="J460" s="51"/>
    </row>
    <row r="461" spans="1:10" ht="15.75" thickBot="1">
      <c r="A461" s="3" t="s">
        <v>33</v>
      </c>
      <c r="B461" s="27">
        <v>2</v>
      </c>
      <c r="C461" s="189">
        <v>19</v>
      </c>
      <c r="D461" s="12">
        <v>4</v>
      </c>
      <c r="E461" s="143">
        <f>1245445.48402/1000000</f>
        <v>1.24544548402</v>
      </c>
      <c r="F461" s="197"/>
      <c r="G461" s="82">
        <v>2</v>
      </c>
      <c r="H461" s="145">
        <f>E459+E462+E463+E464+E466</f>
        <v>259.96143324280553</v>
      </c>
      <c r="J461" s="51"/>
    </row>
    <row r="462" spans="1:10" ht="15.75" thickBot="1">
      <c r="A462" s="3" t="s">
        <v>385</v>
      </c>
      <c r="B462" s="27">
        <v>3</v>
      </c>
      <c r="C462" s="189">
        <v>13</v>
      </c>
      <c r="D462" s="12">
        <v>2</v>
      </c>
      <c r="E462" s="143">
        <f>22281842.9752/1000000</f>
        <v>22.2818429752</v>
      </c>
      <c r="F462" s="197"/>
      <c r="G462" s="81"/>
      <c r="H462" s="173"/>
      <c r="J462" s="51"/>
    </row>
    <row r="463" spans="1:10" ht="15.75" thickBot="1">
      <c r="A463" s="3" t="s">
        <v>379</v>
      </c>
      <c r="B463" s="27">
        <v>3</v>
      </c>
      <c r="C463" s="189">
        <v>13</v>
      </c>
      <c r="D463" s="12">
        <v>2</v>
      </c>
      <c r="E463" s="143">
        <f>89079242.1606/1000000</f>
        <v>89.079242160600003</v>
      </c>
      <c r="F463" s="197"/>
      <c r="G463" s="82">
        <v>3</v>
      </c>
      <c r="H463" s="145">
        <f>E465</f>
        <v>0.12994397960699999</v>
      </c>
      <c r="J463" s="51"/>
    </row>
    <row r="464" spans="1:10" ht="15.75" thickBot="1">
      <c r="A464" s="3" t="s">
        <v>99</v>
      </c>
      <c r="B464" s="27">
        <v>1</v>
      </c>
      <c r="C464" s="189">
        <v>14</v>
      </c>
      <c r="D464" s="12">
        <v>2</v>
      </c>
      <c r="E464" s="143">
        <f>92262836.2246/1000000</f>
        <v>92.262836224600008</v>
      </c>
      <c r="F464" s="197"/>
      <c r="G464" s="81"/>
      <c r="H464" s="173"/>
    </row>
    <row r="465" spans="1:10" ht="15.75" thickBot="1">
      <c r="A465" s="3" t="s">
        <v>98</v>
      </c>
      <c r="B465" s="27">
        <v>1</v>
      </c>
      <c r="C465" s="189">
        <v>18</v>
      </c>
      <c r="D465" s="12">
        <v>3</v>
      </c>
      <c r="E465" s="143">
        <f>129943.979607/1000000</f>
        <v>0.12994397960699999</v>
      </c>
      <c r="F465" s="197"/>
      <c r="G465" s="82">
        <v>4</v>
      </c>
      <c r="H465" s="145">
        <f>E461</f>
        <v>1.24544548402</v>
      </c>
    </row>
    <row r="466" spans="1:10" ht="15.75" thickBot="1">
      <c r="A466" s="29" t="s">
        <v>35</v>
      </c>
      <c r="B466" s="30">
        <v>1</v>
      </c>
      <c r="C466" s="188">
        <v>14</v>
      </c>
      <c r="D466" s="31">
        <v>2</v>
      </c>
      <c r="E466" s="144">
        <f>56323214.1176/1000000</f>
        <v>56.323214117600003</v>
      </c>
      <c r="F466" s="204"/>
      <c r="G466" s="77"/>
      <c r="H466" s="172"/>
    </row>
    <row r="467" spans="1:10" ht="15.75" thickTop="1">
      <c r="A467" s="5" t="s">
        <v>366</v>
      </c>
      <c r="B467" s="27">
        <v>1</v>
      </c>
      <c r="C467" s="189">
        <v>21</v>
      </c>
      <c r="D467" s="12">
        <v>4</v>
      </c>
      <c r="E467" s="143">
        <f>9466629.14065/1000000</f>
        <v>9.4666291406500012</v>
      </c>
      <c r="F467" s="199" t="s">
        <v>209</v>
      </c>
      <c r="G467" s="76"/>
      <c r="H467" s="170"/>
    </row>
    <row r="468" spans="1:10">
      <c r="A468" s="3" t="s">
        <v>133</v>
      </c>
      <c r="B468" s="27">
        <v>1</v>
      </c>
      <c r="C468" s="189">
        <v>19</v>
      </c>
      <c r="D468" s="12">
        <v>3</v>
      </c>
      <c r="E468" s="143">
        <f>42803.1707648/1000000</f>
        <v>4.2803170764800003E-2</v>
      </c>
      <c r="F468" s="197"/>
      <c r="G468" s="81"/>
      <c r="H468" s="173"/>
    </row>
    <row r="469" spans="1:10">
      <c r="A469" s="3" t="s">
        <v>129</v>
      </c>
      <c r="B469" s="27">
        <v>1</v>
      </c>
      <c r="C469" s="189">
        <v>15</v>
      </c>
      <c r="D469" s="12">
        <v>2</v>
      </c>
      <c r="E469" s="143">
        <f>43873748.106/1000000</f>
        <v>43.873748106000001</v>
      </c>
      <c r="F469" s="197"/>
      <c r="G469" s="81"/>
      <c r="H469" s="173"/>
    </row>
    <row r="470" spans="1:10" ht="15.75" thickBot="1">
      <c r="A470" s="3" t="s">
        <v>367</v>
      </c>
      <c r="B470" s="27">
        <v>1</v>
      </c>
      <c r="C470" s="189">
        <v>21</v>
      </c>
      <c r="D470" s="12">
        <v>4</v>
      </c>
      <c r="E470" s="143">
        <f>38792314.7667/1000000</f>
        <v>38.792314766700002</v>
      </c>
      <c r="F470" s="197"/>
      <c r="G470" s="81"/>
      <c r="H470" s="173"/>
    </row>
    <row r="471" spans="1:10" ht="15.75" thickBot="1">
      <c r="A471" s="3" t="s">
        <v>68</v>
      </c>
      <c r="B471" s="27">
        <v>2</v>
      </c>
      <c r="C471" s="189">
        <v>20</v>
      </c>
      <c r="D471" s="12">
        <v>4</v>
      </c>
      <c r="E471" s="143">
        <f>20472148.1759/1000000</f>
        <v>20.472148175900003</v>
      </c>
      <c r="F471" s="197"/>
      <c r="G471" s="82">
        <v>1</v>
      </c>
      <c r="H471" s="145">
        <f>E476+E487</f>
        <v>139.97342175046998</v>
      </c>
    </row>
    <row r="472" spans="1:10">
      <c r="A472" s="3" t="s">
        <v>25</v>
      </c>
      <c r="B472" s="27">
        <v>0</v>
      </c>
      <c r="C472" s="189">
        <v>15</v>
      </c>
      <c r="D472" s="12">
        <v>2</v>
      </c>
      <c r="E472" s="143">
        <f>119286098.409/1000000</f>
        <v>119.28609840899999</v>
      </c>
      <c r="F472" s="197"/>
      <c r="G472" s="81"/>
      <c r="H472" s="173"/>
    </row>
    <row r="473" spans="1:10">
      <c r="A473" s="3" t="s">
        <v>130</v>
      </c>
      <c r="B473" s="27">
        <v>2</v>
      </c>
      <c r="C473" s="189">
        <v>19</v>
      </c>
      <c r="D473" s="12">
        <v>4</v>
      </c>
      <c r="E473" s="143">
        <f>1761026.71069/1000000</f>
        <v>1.7610267106900002</v>
      </c>
      <c r="F473" s="197"/>
      <c r="G473" s="81"/>
      <c r="H473" s="173"/>
    </row>
    <row r="474" spans="1:10">
      <c r="A474" s="3" t="s">
        <v>124</v>
      </c>
      <c r="B474" s="27">
        <v>0</v>
      </c>
      <c r="C474" s="189">
        <v>18</v>
      </c>
      <c r="D474" s="12">
        <v>3</v>
      </c>
      <c r="E474" s="143">
        <f>89693713.2216/1000000</f>
        <v>89.693713221599992</v>
      </c>
      <c r="F474" s="197"/>
      <c r="G474" s="81"/>
      <c r="H474" s="173"/>
    </row>
    <row r="475" spans="1:10" ht="15.75" thickBot="1">
      <c r="A475" s="3" t="s">
        <v>368</v>
      </c>
      <c r="B475" s="27">
        <v>1</v>
      </c>
      <c r="C475" s="189">
        <v>19</v>
      </c>
      <c r="D475" s="12">
        <v>3</v>
      </c>
      <c r="E475" s="143">
        <f>14002.6756533/1000000</f>
        <v>1.40026756533E-2</v>
      </c>
      <c r="F475" s="197"/>
      <c r="G475" s="81"/>
      <c r="H475" s="173"/>
    </row>
    <row r="476" spans="1:10" ht="15.75" thickBot="1">
      <c r="A476" s="3" t="s">
        <v>369</v>
      </c>
      <c r="B476" s="27">
        <v>0</v>
      </c>
      <c r="C476" s="189">
        <v>14</v>
      </c>
      <c r="D476" s="12">
        <v>1</v>
      </c>
      <c r="E476" s="143">
        <f>131698185.578/1000000</f>
        <v>131.69818557799999</v>
      </c>
      <c r="F476" s="197"/>
      <c r="G476" s="82">
        <v>2</v>
      </c>
      <c r="H476" s="145">
        <f>E469+E472+E482+E484+E492+E493</f>
        <v>248.40510629878003</v>
      </c>
    </row>
    <row r="477" spans="1:10">
      <c r="A477" s="3" t="s">
        <v>387</v>
      </c>
      <c r="B477" s="27">
        <v>0</v>
      </c>
      <c r="C477" s="189">
        <v>19</v>
      </c>
      <c r="D477" s="12">
        <v>3</v>
      </c>
      <c r="E477" s="143">
        <f>75117770.0947/1000000</f>
        <v>75.117770094699992</v>
      </c>
      <c r="F477" s="197"/>
      <c r="G477" s="81"/>
      <c r="H477" s="173"/>
    </row>
    <row r="478" spans="1:10">
      <c r="A478" s="3" t="s">
        <v>388</v>
      </c>
      <c r="B478" s="27">
        <v>0</v>
      </c>
      <c r="C478" s="189">
        <v>22</v>
      </c>
      <c r="D478" s="12">
        <v>4</v>
      </c>
      <c r="E478" s="143">
        <f>88247621.5241/1000000</f>
        <v>88.247621524100012</v>
      </c>
      <c r="F478" s="197"/>
      <c r="G478" s="81"/>
      <c r="H478" s="173"/>
    </row>
    <row r="479" spans="1:10">
      <c r="A479" s="3" t="s">
        <v>389</v>
      </c>
      <c r="B479" s="27">
        <v>0</v>
      </c>
      <c r="C479" s="189">
        <v>21</v>
      </c>
      <c r="D479" s="12">
        <v>4</v>
      </c>
      <c r="E479" s="143">
        <f>34860002.1799/1000000</f>
        <v>34.8600021799</v>
      </c>
      <c r="F479" s="197"/>
      <c r="G479" s="81"/>
      <c r="H479" s="173"/>
      <c r="J479" s="51"/>
    </row>
    <row r="480" spans="1:10" ht="15.75" thickBot="1">
      <c r="A480" s="3" t="s">
        <v>125</v>
      </c>
      <c r="B480" s="27">
        <v>2</v>
      </c>
      <c r="C480" s="189">
        <v>17</v>
      </c>
      <c r="D480" s="12">
        <v>3</v>
      </c>
      <c r="E480" s="143">
        <f>17950206.9997/1000000</f>
        <v>17.950206999699997</v>
      </c>
      <c r="F480" s="197"/>
      <c r="G480" s="81"/>
      <c r="H480" s="173"/>
    </row>
    <row r="481" spans="1:8" ht="15.75" thickBot="1">
      <c r="A481" s="3" t="s">
        <v>126</v>
      </c>
      <c r="B481" s="27">
        <v>1</v>
      </c>
      <c r="C481" s="189">
        <v>20</v>
      </c>
      <c r="D481" s="12">
        <v>4</v>
      </c>
      <c r="E481" s="143">
        <f>31665685.5683/1000000</f>
        <v>31.665685568300002</v>
      </c>
      <c r="F481" s="197"/>
      <c r="G481" s="82">
        <v>3</v>
      </c>
      <c r="H481" s="145">
        <f>E468+E474+E475+E477+E480+E485+E489+E490+E491+E494+E495</f>
        <v>362.75827342216803</v>
      </c>
    </row>
    <row r="482" spans="1:8">
      <c r="A482" s="3" t="s">
        <v>390</v>
      </c>
      <c r="B482" s="27">
        <v>1</v>
      </c>
      <c r="C482" s="189">
        <v>16</v>
      </c>
      <c r="D482" s="12">
        <v>2</v>
      </c>
      <c r="E482" s="143">
        <f>36194686.3496/1000000</f>
        <v>36.194686349600005</v>
      </c>
      <c r="F482" s="197"/>
      <c r="G482" s="81"/>
      <c r="H482" s="173"/>
    </row>
    <row r="483" spans="1:8">
      <c r="A483" s="3" t="s">
        <v>391</v>
      </c>
      <c r="B483" s="27">
        <v>1</v>
      </c>
      <c r="C483" s="189">
        <v>22</v>
      </c>
      <c r="D483" s="12">
        <v>4</v>
      </c>
      <c r="E483" s="143">
        <f>30182389.6092/1000000</f>
        <v>30.182389609200001</v>
      </c>
      <c r="F483" s="197"/>
      <c r="G483" s="81"/>
      <c r="H483" s="173"/>
    </row>
    <row r="484" spans="1:8">
      <c r="A484" s="3" t="s">
        <v>122</v>
      </c>
      <c r="B484" s="27">
        <v>1</v>
      </c>
      <c r="C484" s="189">
        <v>15</v>
      </c>
      <c r="D484" s="12">
        <v>2</v>
      </c>
      <c r="E484" s="143">
        <f>26739636.7716/1000000</f>
        <v>26.739636771600001</v>
      </c>
      <c r="F484" s="197"/>
      <c r="G484" s="81"/>
      <c r="H484" s="173"/>
    </row>
    <row r="485" spans="1:8" ht="15.75" thickBot="1">
      <c r="A485" s="3" t="s">
        <v>131</v>
      </c>
      <c r="B485" s="27">
        <v>2</v>
      </c>
      <c r="C485" s="189">
        <v>16</v>
      </c>
      <c r="D485" s="12">
        <v>3</v>
      </c>
      <c r="E485" s="143">
        <f>41806979.4387/1000000</f>
        <v>41.806979438699997</v>
      </c>
      <c r="F485" s="197"/>
      <c r="G485" s="81"/>
      <c r="H485" s="173"/>
    </row>
    <row r="486" spans="1:8" ht="15.75" thickBot="1">
      <c r="A486" s="3" t="s">
        <v>85</v>
      </c>
      <c r="B486" s="27">
        <v>1</v>
      </c>
      <c r="C486" s="189">
        <v>20</v>
      </c>
      <c r="D486" s="12">
        <v>4</v>
      </c>
      <c r="E486" s="143">
        <f>21980543.1935/1000000</f>
        <v>21.980543193500001</v>
      </c>
      <c r="F486" s="197"/>
      <c r="G486" s="82">
        <v>4</v>
      </c>
      <c r="H486" s="145">
        <f>E467+E470+E471+E473+E478+E479+E481+E483+E486+E488</f>
        <v>284.33171944396003</v>
      </c>
    </row>
    <row r="487" spans="1:8">
      <c r="A487" s="3" t="s">
        <v>365</v>
      </c>
      <c r="B487" s="27">
        <v>1</v>
      </c>
      <c r="C487" s="189">
        <v>13</v>
      </c>
      <c r="D487" s="12">
        <v>1</v>
      </c>
      <c r="E487" s="143">
        <f>8275236.17247/1000000</f>
        <v>8.2752361724699988</v>
      </c>
      <c r="F487" s="197"/>
      <c r="G487" s="81"/>
      <c r="H487" s="173"/>
    </row>
    <row r="488" spans="1:8">
      <c r="A488" s="3" t="s">
        <v>392</v>
      </c>
      <c r="B488" s="27">
        <v>1</v>
      </c>
      <c r="C488" s="189">
        <v>17</v>
      </c>
      <c r="D488" s="12">
        <v>4</v>
      </c>
      <c r="E488" s="143">
        <f>6903358.57502/1000000</f>
        <v>6.9033585750200004</v>
      </c>
      <c r="F488" s="197"/>
      <c r="G488" s="81"/>
      <c r="H488" s="173"/>
    </row>
    <row r="489" spans="1:8">
      <c r="A489" s="3" t="s">
        <v>393</v>
      </c>
      <c r="B489" s="27">
        <v>0</v>
      </c>
      <c r="C489" s="189">
        <v>19</v>
      </c>
      <c r="D489" s="12">
        <v>3</v>
      </c>
      <c r="E489" s="143">
        <f>8206400.08395/1000000</f>
        <v>8.2064000839499993</v>
      </c>
      <c r="F489" s="197"/>
      <c r="G489" s="81"/>
      <c r="H489" s="173"/>
    </row>
    <row r="490" spans="1:8">
      <c r="A490" s="3" t="s">
        <v>127</v>
      </c>
      <c r="B490" s="27">
        <v>0</v>
      </c>
      <c r="C490" s="189">
        <v>19</v>
      </c>
      <c r="D490" s="12">
        <v>3</v>
      </c>
      <c r="E490" s="143">
        <f>33156064.2777/1000000</f>
        <v>33.156064277699997</v>
      </c>
      <c r="F490" s="197"/>
      <c r="G490" s="81"/>
      <c r="H490" s="173"/>
    </row>
    <row r="491" spans="1:8">
      <c r="A491" s="3" t="s">
        <v>132</v>
      </c>
      <c r="B491" s="27">
        <v>0</v>
      </c>
      <c r="C491" s="189">
        <v>20</v>
      </c>
      <c r="D491" s="12">
        <v>3</v>
      </c>
      <c r="E491" s="143">
        <f>56002157.8296/1000000</f>
        <v>56.002157829600002</v>
      </c>
      <c r="F491" s="197"/>
      <c r="G491" s="81"/>
      <c r="H491" s="173"/>
    </row>
    <row r="492" spans="1:8">
      <c r="A492" s="3" t="s">
        <v>88</v>
      </c>
      <c r="B492" s="27">
        <v>1</v>
      </c>
      <c r="C492" s="189">
        <v>15</v>
      </c>
      <c r="D492" s="12">
        <v>2</v>
      </c>
      <c r="E492" s="143">
        <f>19561885.0854/1000000</f>
        <v>19.5618850854</v>
      </c>
      <c r="F492" s="197"/>
      <c r="G492" s="81"/>
      <c r="H492" s="173"/>
    </row>
    <row r="493" spans="1:8">
      <c r="A493" s="3" t="s">
        <v>375</v>
      </c>
      <c r="B493" s="27">
        <v>1</v>
      </c>
      <c r="C493" s="189">
        <v>16</v>
      </c>
      <c r="D493" s="12">
        <v>2</v>
      </c>
      <c r="E493" s="143">
        <f>2749051.57718/1000000</f>
        <v>2.7490515771799999</v>
      </c>
      <c r="F493" s="197"/>
      <c r="G493" s="81"/>
      <c r="H493" s="173"/>
    </row>
    <row r="494" spans="1:8">
      <c r="A494" s="3" t="s">
        <v>128</v>
      </c>
      <c r="B494" s="27">
        <v>1</v>
      </c>
      <c r="C494" s="189">
        <v>18</v>
      </c>
      <c r="D494" s="12">
        <v>3</v>
      </c>
      <c r="E494" s="143">
        <f>29723152.2982/1000000</f>
        <v>29.723152298199999</v>
      </c>
      <c r="F494" s="197"/>
      <c r="G494" s="81"/>
      <c r="H494" s="173"/>
    </row>
    <row r="495" spans="1:8" ht="15.75" thickBot="1">
      <c r="A495" s="29" t="s">
        <v>123</v>
      </c>
      <c r="B495" s="30">
        <v>1</v>
      </c>
      <c r="C495" s="188">
        <v>18</v>
      </c>
      <c r="D495" s="31">
        <v>3</v>
      </c>
      <c r="E495" s="144">
        <f>11045023.3316/1000000</f>
        <v>11.045023331599999</v>
      </c>
      <c r="F495" s="204"/>
      <c r="G495" s="77"/>
      <c r="H495" s="172"/>
    </row>
    <row r="496" spans="1:8" ht="16.5" thickTop="1" thickBot="1">
      <c r="A496" s="5" t="s">
        <v>66</v>
      </c>
      <c r="B496" s="27">
        <v>2</v>
      </c>
      <c r="C496" s="189">
        <v>17</v>
      </c>
      <c r="D496" s="28">
        <v>3</v>
      </c>
      <c r="E496" s="143">
        <f>20663.6410805/1000000</f>
        <v>2.0663641080500002E-2</v>
      </c>
      <c r="F496" s="199" t="s">
        <v>210</v>
      </c>
      <c r="G496" s="76"/>
      <c r="H496" s="170"/>
    </row>
    <row r="497" spans="1:10" ht="15.75" thickBot="1">
      <c r="A497" s="3" t="s">
        <v>61</v>
      </c>
      <c r="B497" s="27">
        <v>2</v>
      </c>
      <c r="C497" s="189">
        <v>17</v>
      </c>
      <c r="D497" s="12">
        <v>3</v>
      </c>
      <c r="E497" s="143">
        <f>4412230.53763/1000000</f>
        <v>4.4122305376300002</v>
      </c>
      <c r="F497" s="197"/>
      <c r="G497" s="82">
        <v>2</v>
      </c>
      <c r="H497" s="145">
        <f>E500+E501</f>
        <v>36.484711930220001</v>
      </c>
    </row>
    <row r="498" spans="1:10" ht="15.75" thickBot="1">
      <c r="A498" s="3" t="s">
        <v>64</v>
      </c>
      <c r="B498" s="27">
        <v>2</v>
      </c>
      <c r="C498" s="189">
        <v>20</v>
      </c>
      <c r="D498" s="12">
        <v>4</v>
      </c>
      <c r="E498" s="143">
        <f>475866.211008/1000000</f>
        <v>0.47586621100800003</v>
      </c>
      <c r="F498" s="197"/>
      <c r="G498" s="82">
        <v>3</v>
      </c>
      <c r="H498" s="145">
        <f>E496+E497+E499</f>
        <v>41.3053029500105</v>
      </c>
      <c r="J498" s="51"/>
    </row>
    <row r="499" spans="1:10" ht="15.75" thickBot="1">
      <c r="A499" s="3" t="s">
        <v>364</v>
      </c>
      <c r="B499" s="27">
        <v>0</v>
      </c>
      <c r="C499" s="189">
        <v>20</v>
      </c>
      <c r="D499" s="12">
        <v>3</v>
      </c>
      <c r="E499" s="143">
        <f>36872408.7713/1000000</f>
        <v>36.872408771300002</v>
      </c>
      <c r="F499" s="197"/>
      <c r="G499" s="82">
        <v>4</v>
      </c>
      <c r="H499" s="145">
        <f>E498</f>
        <v>0.47586621100800003</v>
      </c>
    </row>
    <row r="500" spans="1:10">
      <c r="A500" s="3" t="s">
        <v>62</v>
      </c>
      <c r="B500" s="27">
        <v>0</v>
      </c>
      <c r="C500" s="189">
        <v>15</v>
      </c>
      <c r="D500" s="12">
        <v>2</v>
      </c>
      <c r="E500" s="143">
        <f>27870439.1053/1000000</f>
        <v>27.870439105300001</v>
      </c>
      <c r="F500" s="197"/>
      <c r="G500" s="81"/>
      <c r="H500" s="173"/>
    </row>
    <row r="501" spans="1:10" ht="15.75" thickBot="1">
      <c r="A501" s="29" t="s">
        <v>110</v>
      </c>
      <c r="B501" s="30">
        <v>0</v>
      </c>
      <c r="C501" s="188">
        <v>15</v>
      </c>
      <c r="D501" s="31">
        <v>2</v>
      </c>
      <c r="E501" s="144">
        <f>8614272.82492/1000000</f>
        <v>8.6142728249200005</v>
      </c>
      <c r="F501" s="198"/>
      <c r="G501" s="77"/>
      <c r="H501" s="172"/>
    </row>
    <row r="502" spans="1:10" ht="15.75" thickTop="1">
      <c r="A502" s="5" t="s">
        <v>366</v>
      </c>
      <c r="B502" s="27">
        <v>1</v>
      </c>
      <c r="C502" s="189">
        <v>21</v>
      </c>
      <c r="D502" s="28">
        <v>4</v>
      </c>
      <c r="E502" s="143">
        <f>469381.832203/1000000</f>
        <v>0.469381832203</v>
      </c>
      <c r="F502" s="196" t="s">
        <v>211</v>
      </c>
      <c r="G502" s="76"/>
      <c r="H502" s="170"/>
    </row>
    <row r="503" spans="1:10" ht="15.75" thickBot="1">
      <c r="A503" s="3" t="s">
        <v>394</v>
      </c>
      <c r="B503" s="27">
        <v>1</v>
      </c>
      <c r="C503" s="189">
        <v>19</v>
      </c>
      <c r="D503" s="12">
        <v>3</v>
      </c>
      <c r="E503" s="143">
        <f>9023511.39876/1000000</f>
        <v>9.0235113987600002</v>
      </c>
      <c r="F503" s="197"/>
      <c r="G503" s="81"/>
      <c r="H503" s="173"/>
    </row>
    <row r="504" spans="1:10" ht="15.75" thickBot="1">
      <c r="A504" s="3" t="s">
        <v>374</v>
      </c>
      <c r="B504" s="27">
        <v>2</v>
      </c>
      <c r="C504" s="189">
        <v>15</v>
      </c>
      <c r="D504" s="12">
        <v>2</v>
      </c>
      <c r="E504" s="143">
        <f>1745954.85596/1000000</f>
        <v>1.74595485596</v>
      </c>
      <c r="F504" s="197"/>
      <c r="G504" s="82">
        <v>2</v>
      </c>
      <c r="H504" s="145">
        <f>E504+E509+E512+E514</f>
        <v>72.984400225569999</v>
      </c>
    </row>
    <row r="505" spans="1:10">
      <c r="A505" s="3" t="s">
        <v>371</v>
      </c>
      <c r="B505" s="27">
        <v>2</v>
      </c>
      <c r="C505" s="189">
        <v>21</v>
      </c>
      <c r="D505" s="12">
        <v>4</v>
      </c>
      <c r="E505" s="143">
        <f>55078399.7721/1000000</f>
        <v>55.078399772099999</v>
      </c>
      <c r="F505" s="197"/>
      <c r="G505" s="81"/>
      <c r="H505" s="173"/>
    </row>
    <row r="506" spans="1:10">
      <c r="A506" s="3" t="s">
        <v>330</v>
      </c>
      <c r="B506" s="27">
        <v>1</v>
      </c>
      <c r="C506" s="189">
        <v>19</v>
      </c>
      <c r="D506" s="12">
        <v>3</v>
      </c>
      <c r="E506" s="143">
        <f>41262958.2643/1000000</f>
        <v>41.262958264300003</v>
      </c>
      <c r="F506" s="197"/>
      <c r="G506" s="81"/>
      <c r="H506" s="173"/>
    </row>
    <row r="507" spans="1:10" ht="15.75" thickBot="1">
      <c r="A507" s="3" t="s">
        <v>73</v>
      </c>
      <c r="B507" s="27">
        <v>1</v>
      </c>
      <c r="C507" s="189">
        <v>23</v>
      </c>
      <c r="D507" s="12">
        <v>5</v>
      </c>
      <c r="E507" s="143">
        <f>83843757.95/1000000</f>
        <v>83.843757949999997</v>
      </c>
      <c r="F507" s="197"/>
      <c r="G507" s="81"/>
      <c r="H507" s="173"/>
    </row>
    <row r="508" spans="1:10" ht="15.75" thickBot="1">
      <c r="A508" s="3" t="s">
        <v>133</v>
      </c>
      <c r="B508" s="27">
        <v>1</v>
      </c>
      <c r="C508" s="189">
        <v>19</v>
      </c>
      <c r="D508" s="12">
        <v>3</v>
      </c>
      <c r="E508" s="143">
        <f>50558559.4943/1000000</f>
        <v>50.558559494299999</v>
      </c>
      <c r="F508" s="197"/>
      <c r="G508" s="82">
        <v>3</v>
      </c>
      <c r="H508" s="145">
        <f>E503+E506+E508+E510+E515+E516+E517+E518</f>
        <v>245.15125544182897</v>
      </c>
    </row>
    <row r="509" spans="1:10">
      <c r="A509" s="3" t="s">
        <v>134</v>
      </c>
      <c r="B509" s="27">
        <v>1</v>
      </c>
      <c r="C509" s="189">
        <v>14</v>
      </c>
      <c r="D509" s="12">
        <v>2</v>
      </c>
      <c r="E509" s="143">
        <f>55643737.9752/1000000</f>
        <v>55.643737975199997</v>
      </c>
      <c r="F509" s="197"/>
      <c r="G509" s="81"/>
      <c r="H509" s="173"/>
    </row>
    <row r="510" spans="1:10">
      <c r="A510" s="3" t="s">
        <v>395</v>
      </c>
      <c r="B510" s="27">
        <v>3</v>
      </c>
      <c r="C510" s="189">
        <v>16</v>
      </c>
      <c r="D510" s="12">
        <v>3</v>
      </c>
      <c r="E510" s="143">
        <f>69730136.8536/1000000</f>
        <v>69.730136853600001</v>
      </c>
      <c r="F510" s="197"/>
      <c r="G510" s="81"/>
      <c r="H510" s="173"/>
      <c r="J510" s="51"/>
    </row>
    <row r="511" spans="1:10" ht="15.75" thickBot="1">
      <c r="A511" s="3" t="s">
        <v>72</v>
      </c>
      <c r="B511" s="27">
        <v>3</v>
      </c>
      <c r="C511" s="189">
        <v>22</v>
      </c>
      <c r="D511" s="12">
        <v>5</v>
      </c>
      <c r="E511" s="143">
        <f>29531603.2454/1000000</f>
        <v>29.531603245399999</v>
      </c>
      <c r="F511" s="197"/>
      <c r="G511" s="81"/>
      <c r="H511" s="173"/>
    </row>
    <row r="512" spans="1:10" ht="15.75" thickBot="1">
      <c r="A512" s="3" t="s">
        <v>396</v>
      </c>
      <c r="B512" s="27">
        <v>1</v>
      </c>
      <c r="C512" s="189">
        <v>16</v>
      </c>
      <c r="D512" s="12">
        <v>2</v>
      </c>
      <c r="E512" s="143">
        <f>4405419.13731/1000000</f>
        <v>4.40541913731</v>
      </c>
      <c r="F512" s="197"/>
      <c r="G512" s="82">
        <v>4</v>
      </c>
      <c r="H512" s="145">
        <f>E502+E505</f>
        <v>55.547781604302997</v>
      </c>
    </row>
    <row r="513" spans="1:10">
      <c r="A513" s="3" t="s">
        <v>69</v>
      </c>
      <c r="B513" s="27">
        <v>2</v>
      </c>
      <c r="C513" s="189">
        <v>22</v>
      </c>
      <c r="D513" s="12">
        <v>5</v>
      </c>
      <c r="E513" s="143">
        <f>1697875.42278/1000000</f>
        <v>1.6978754227799999</v>
      </c>
      <c r="F513" s="197"/>
      <c r="G513" s="81"/>
      <c r="H513" s="173"/>
    </row>
    <row r="514" spans="1:10">
      <c r="A514" s="3" t="s">
        <v>84</v>
      </c>
      <c r="B514" s="27">
        <v>1</v>
      </c>
      <c r="C514" s="189">
        <v>15</v>
      </c>
      <c r="D514" s="12">
        <v>2</v>
      </c>
      <c r="E514" s="143">
        <f>11189288.2571/1000000</f>
        <v>11.189288257099999</v>
      </c>
      <c r="F514" s="197"/>
      <c r="G514" s="81"/>
      <c r="H514" s="173"/>
    </row>
    <row r="515" spans="1:10" ht="15.75" thickBot="1">
      <c r="A515" s="3" t="s">
        <v>71</v>
      </c>
      <c r="B515" s="27">
        <v>1</v>
      </c>
      <c r="C515" s="189">
        <v>17</v>
      </c>
      <c r="D515" s="12">
        <v>3</v>
      </c>
      <c r="E515" s="143">
        <f>7469277.78663/1000000</f>
        <v>7.4692777866300002</v>
      </c>
      <c r="F515" s="197"/>
      <c r="G515" s="81"/>
      <c r="H515" s="173"/>
    </row>
    <row r="516" spans="1:10" ht="15.75" thickBot="1">
      <c r="A516" s="3" t="s">
        <v>397</v>
      </c>
      <c r="B516" s="27">
        <v>3</v>
      </c>
      <c r="C516" s="189">
        <v>16</v>
      </c>
      <c r="D516" s="12">
        <v>3</v>
      </c>
      <c r="E516" s="143">
        <f>65963571.4495/1000000</f>
        <v>65.963571449500009</v>
      </c>
      <c r="F516" s="197"/>
      <c r="G516" s="82">
        <v>5</v>
      </c>
      <c r="H516" s="145">
        <f>E507+E511+E513</f>
        <v>115.07323661817999</v>
      </c>
    </row>
    <row r="517" spans="1:10">
      <c r="A517" s="3" t="s">
        <v>127</v>
      </c>
      <c r="B517" s="27">
        <v>0</v>
      </c>
      <c r="C517" s="189">
        <v>19</v>
      </c>
      <c r="D517" s="12">
        <v>3</v>
      </c>
      <c r="E517" s="143">
        <f>1016385.86398/1000000</f>
        <v>1.0163858639800001</v>
      </c>
      <c r="F517" s="197"/>
      <c r="G517" s="81"/>
      <c r="H517" s="173"/>
    </row>
    <row r="518" spans="1:10" ht="15.75" thickBot="1">
      <c r="A518" s="29" t="s">
        <v>87</v>
      </c>
      <c r="B518" s="30">
        <v>1</v>
      </c>
      <c r="C518" s="188">
        <v>17</v>
      </c>
      <c r="D518" s="31">
        <v>3</v>
      </c>
      <c r="E518" s="144">
        <f>126854.330759/1000000</f>
        <v>0.12685433075900002</v>
      </c>
      <c r="F518" s="198"/>
      <c r="G518" s="77"/>
      <c r="H518" s="172"/>
    </row>
    <row r="519" spans="1:10" ht="16.5" thickTop="1" thickBot="1">
      <c r="A519" s="5" t="s">
        <v>64</v>
      </c>
      <c r="B519" s="27">
        <v>2</v>
      </c>
      <c r="C519" s="189">
        <v>20</v>
      </c>
      <c r="D519" s="28">
        <v>4</v>
      </c>
      <c r="E519" s="143">
        <f>35511248.573/1000000</f>
        <v>35.511248572999996</v>
      </c>
      <c r="F519" s="196" t="s">
        <v>212</v>
      </c>
      <c r="G519" s="76"/>
      <c r="H519" s="170"/>
    </row>
    <row r="520" spans="1:10" ht="15.75" thickBot="1">
      <c r="A520" s="3" t="s">
        <v>109</v>
      </c>
      <c r="B520" s="27">
        <v>2</v>
      </c>
      <c r="C520" s="189">
        <v>23</v>
      </c>
      <c r="D520" s="12">
        <v>5</v>
      </c>
      <c r="E520" s="143">
        <f>21908056.4644/1000000</f>
        <v>21.908056464400001</v>
      </c>
      <c r="F520" s="197"/>
      <c r="G520" s="82">
        <v>1</v>
      </c>
      <c r="H520" s="145">
        <f>E525</f>
        <v>33.4414461175</v>
      </c>
    </row>
    <row r="521" spans="1:10" ht="15.75" thickBot="1">
      <c r="A521" s="3" t="s">
        <v>110</v>
      </c>
      <c r="B521" s="27">
        <v>0</v>
      </c>
      <c r="C521" s="189">
        <v>15</v>
      </c>
      <c r="D521" s="12">
        <v>2</v>
      </c>
      <c r="E521" s="143">
        <f>32075114.9548/1000000</f>
        <v>32.0751149548</v>
      </c>
      <c r="F521" s="197"/>
      <c r="G521" s="82">
        <v>2</v>
      </c>
      <c r="H521" s="145">
        <f>E521</f>
        <v>32.0751149548</v>
      </c>
    </row>
    <row r="522" spans="1:10" ht="15.75" thickBot="1">
      <c r="A522" s="3" t="s">
        <v>125</v>
      </c>
      <c r="B522" s="27">
        <v>2</v>
      </c>
      <c r="C522" s="189">
        <v>17</v>
      </c>
      <c r="D522" s="12">
        <v>3</v>
      </c>
      <c r="E522" s="143">
        <f>50411593.2704/1000000</f>
        <v>50.411593270400004</v>
      </c>
      <c r="F522" s="197"/>
      <c r="G522" s="82">
        <v>3</v>
      </c>
      <c r="H522" s="145">
        <f>E522+E524</f>
        <v>99.438504047800009</v>
      </c>
    </row>
    <row r="523" spans="1:10" ht="15.75" thickBot="1">
      <c r="A523" s="3" t="s">
        <v>126</v>
      </c>
      <c r="B523" s="27">
        <v>1</v>
      </c>
      <c r="C523" s="189">
        <v>20</v>
      </c>
      <c r="D523" s="12">
        <v>4</v>
      </c>
      <c r="E523" s="143">
        <f>104314.561728/1000000</f>
        <v>0.10431456172799999</v>
      </c>
      <c r="F523" s="197"/>
      <c r="G523" s="82">
        <v>4</v>
      </c>
      <c r="H523" s="145">
        <f>E519+E523</f>
        <v>35.615563134727999</v>
      </c>
      <c r="J523" s="51"/>
    </row>
    <row r="524" spans="1:10" ht="15.75" thickBot="1">
      <c r="A524" s="3" t="s">
        <v>131</v>
      </c>
      <c r="B524" s="27">
        <v>2</v>
      </c>
      <c r="C524" s="189">
        <v>16</v>
      </c>
      <c r="D524" s="12">
        <v>3</v>
      </c>
      <c r="E524" s="143">
        <f>49026910.7774/1000000</f>
        <v>49.026910777400005</v>
      </c>
      <c r="F524" s="197"/>
      <c r="G524" s="82">
        <v>5</v>
      </c>
      <c r="H524" s="172">
        <f>E526+E520</f>
        <v>22.260999619782002</v>
      </c>
      <c r="J524" s="51"/>
    </row>
    <row r="525" spans="1:10">
      <c r="A525" s="3" t="s">
        <v>365</v>
      </c>
      <c r="B525" s="27">
        <v>1</v>
      </c>
      <c r="C525" s="189">
        <v>13</v>
      </c>
      <c r="D525" s="12">
        <v>1</v>
      </c>
      <c r="E525" s="143">
        <f>33441446.1175/1000000</f>
        <v>33.4414461175</v>
      </c>
      <c r="F525" s="197"/>
      <c r="G525" s="81"/>
      <c r="H525" s="173"/>
    </row>
    <row r="526" spans="1:10" ht="15.75" thickBot="1">
      <c r="A526" s="29" t="s">
        <v>63</v>
      </c>
      <c r="B526" s="30">
        <v>3</v>
      </c>
      <c r="C526" s="188">
        <v>25</v>
      </c>
      <c r="D526" s="31">
        <v>5</v>
      </c>
      <c r="E526" s="144">
        <f>352943.155382/1000000</f>
        <v>0.35294315538200005</v>
      </c>
      <c r="F526" s="198"/>
      <c r="G526" s="81"/>
      <c r="H526" s="173"/>
    </row>
    <row r="527" spans="1:10" ht="16.5" thickTop="1" thickBot="1">
      <c r="A527" s="5" t="s">
        <v>110</v>
      </c>
      <c r="B527" s="27">
        <v>0</v>
      </c>
      <c r="C527" s="189">
        <v>15</v>
      </c>
      <c r="D527" s="28">
        <v>2</v>
      </c>
      <c r="E527" s="143">
        <f>447709.268027/1000000</f>
        <v>0.44770926802700001</v>
      </c>
      <c r="F527" s="196" t="s">
        <v>213</v>
      </c>
      <c r="G527" s="82">
        <v>2</v>
      </c>
      <c r="H527" s="145">
        <f>E527</f>
        <v>0.44770926802700001</v>
      </c>
    </row>
    <row r="528" spans="1:10" ht="15.75" thickBot="1">
      <c r="A528" s="26" t="s">
        <v>388</v>
      </c>
      <c r="B528" s="27">
        <v>0</v>
      </c>
      <c r="C528" s="189">
        <v>22</v>
      </c>
      <c r="D528" s="28">
        <v>4</v>
      </c>
      <c r="E528" s="143">
        <f>7098559.75295/1000000</f>
        <v>7.09855975295</v>
      </c>
      <c r="F528" s="200"/>
      <c r="G528" s="82">
        <v>3</v>
      </c>
      <c r="H528" s="145">
        <f>E529</f>
        <v>21.913542101851</v>
      </c>
    </row>
    <row r="529" spans="1:10" ht="15.75" thickBot="1">
      <c r="A529" s="29" t="s">
        <v>125</v>
      </c>
      <c r="B529" s="30">
        <v>2</v>
      </c>
      <c r="C529" s="188">
        <v>17</v>
      </c>
      <c r="D529" s="31">
        <v>3</v>
      </c>
      <c r="E529" s="144">
        <f>21913542.101851/1000000</f>
        <v>21.913542101851</v>
      </c>
      <c r="F529" s="198"/>
      <c r="G529" s="82">
        <v>4</v>
      </c>
      <c r="H529" s="145">
        <f>E528</f>
        <v>7.09855975295</v>
      </c>
      <c r="J529" s="51"/>
    </row>
    <row r="530" spans="1:10" ht="16.5" thickTop="1" thickBot="1">
      <c r="A530" s="26" t="s">
        <v>83</v>
      </c>
      <c r="B530" s="27">
        <v>2</v>
      </c>
      <c r="C530" s="189">
        <v>19</v>
      </c>
      <c r="D530" s="28">
        <v>4</v>
      </c>
      <c r="E530" s="143">
        <f>10209229.2938/1000000</f>
        <v>10.2092292938</v>
      </c>
      <c r="F530" s="196" t="s">
        <v>214</v>
      </c>
      <c r="G530" s="76"/>
      <c r="H530" s="170"/>
    </row>
    <row r="531" spans="1:10" ht="15.75" thickBot="1">
      <c r="A531" s="7" t="s">
        <v>135</v>
      </c>
      <c r="B531" s="27">
        <v>1</v>
      </c>
      <c r="C531" s="189">
        <v>17</v>
      </c>
      <c r="D531" s="12">
        <v>3</v>
      </c>
      <c r="E531" s="143">
        <f>19587671.1031/1000000</f>
        <v>19.587671103100003</v>
      </c>
      <c r="F531" s="197"/>
      <c r="G531" s="82">
        <v>3</v>
      </c>
      <c r="H531" s="145">
        <f>E531+E533</f>
        <v>21.469665503360005</v>
      </c>
      <c r="J531" s="51"/>
    </row>
    <row r="532" spans="1:10" ht="15.75" thickBot="1">
      <c r="A532" s="7" t="s">
        <v>81</v>
      </c>
      <c r="B532" s="27">
        <v>2</v>
      </c>
      <c r="C532" s="189">
        <v>20</v>
      </c>
      <c r="D532" s="12">
        <v>4</v>
      </c>
      <c r="E532" s="143">
        <f>2591409.06136/1000000</f>
        <v>2.5914090613600003</v>
      </c>
      <c r="F532" s="197"/>
      <c r="G532" s="82">
        <v>4</v>
      </c>
      <c r="H532" s="172">
        <f>E530+E532</f>
        <v>12.80063835516</v>
      </c>
    </row>
    <row r="533" spans="1:10" ht="15.75" thickBot="1">
      <c r="A533" s="68" t="s">
        <v>373</v>
      </c>
      <c r="B533" s="30">
        <v>0</v>
      </c>
      <c r="C533" s="188">
        <v>19</v>
      </c>
      <c r="D533" s="31">
        <v>3</v>
      </c>
      <c r="E533" s="144">
        <f>1881994.40026/1000000</f>
        <v>1.88199440026</v>
      </c>
      <c r="F533" s="198"/>
      <c r="G533" s="77"/>
      <c r="H533" s="172"/>
    </row>
    <row r="534" spans="1:10" ht="16.5" thickTop="1" thickBot="1">
      <c r="A534" s="26" t="s">
        <v>363</v>
      </c>
      <c r="B534" s="27">
        <v>2</v>
      </c>
      <c r="C534" s="189">
        <v>14</v>
      </c>
      <c r="D534" s="28">
        <v>2</v>
      </c>
      <c r="E534" s="143">
        <f>498853.185873/1000000</f>
        <v>0.49885318587299998</v>
      </c>
      <c r="F534" s="196" t="s">
        <v>215</v>
      </c>
      <c r="G534" s="76"/>
      <c r="H534" s="170"/>
    </row>
    <row r="535" spans="1:10" ht="15.75" thickBot="1">
      <c r="A535" s="7" t="s">
        <v>131</v>
      </c>
      <c r="B535" s="27">
        <v>2</v>
      </c>
      <c r="C535" s="189">
        <v>16</v>
      </c>
      <c r="D535" s="12">
        <v>3</v>
      </c>
      <c r="E535" s="143">
        <f>3568.08803789/1000000</f>
        <v>3.5680880378900002E-3</v>
      </c>
      <c r="F535" s="197"/>
      <c r="G535" s="82">
        <v>1</v>
      </c>
      <c r="H535" s="145">
        <f>E536+E545</f>
        <v>80.044885929000003</v>
      </c>
    </row>
    <row r="536" spans="1:10" ht="15.75" thickBot="1">
      <c r="A536" s="7" t="s">
        <v>365</v>
      </c>
      <c r="B536" s="27">
        <v>1</v>
      </c>
      <c r="C536" s="189">
        <v>13</v>
      </c>
      <c r="D536" s="12">
        <v>1</v>
      </c>
      <c r="E536" s="143">
        <f>59755442.763/1000000</f>
        <v>59.755442762999998</v>
      </c>
      <c r="F536" s="197"/>
      <c r="G536" s="81"/>
      <c r="H536" s="173"/>
    </row>
    <row r="537" spans="1:10" ht="15.75" thickBot="1">
      <c r="A537" s="7" t="s">
        <v>63</v>
      </c>
      <c r="B537" s="27">
        <v>3</v>
      </c>
      <c r="C537" s="189">
        <v>25</v>
      </c>
      <c r="D537" s="12">
        <v>5</v>
      </c>
      <c r="E537" s="143">
        <f>110075486.244/1000000</f>
        <v>110.075486244</v>
      </c>
      <c r="F537" s="197"/>
      <c r="G537" s="82">
        <v>2</v>
      </c>
      <c r="H537" s="145">
        <f>E534+E540+E541+E544</f>
        <v>44.827048193122003</v>
      </c>
    </row>
    <row r="538" spans="1:10" ht="15.75" thickBot="1">
      <c r="A538" s="7" t="s">
        <v>114</v>
      </c>
      <c r="B538" s="27">
        <v>3</v>
      </c>
      <c r="C538" s="189">
        <v>17</v>
      </c>
      <c r="D538" s="12">
        <v>3</v>
      </c>
      <c r="E538" s="143">
        <f>18254751.9783/1000000</f>
        <v>18.2547519783</v>
      </c>
      <c r="F538" s="197"/>
      <c r="G538" s="81"/>
      <c r="H538" s="173"/>
    </row>
    <row r="539" spans="1:10" ht="15.75" thickBot="1">
      <c r="A539" s="7" t="s">
        <v>105</v>
      </c>
      <c r="B539" s="27">
        <v>1</v>
      </c>
      <c r="C539" s="189">
        <v>18</v>
      </c>
      <c r="D539" s="12">
        <v>3</v>
      </c>
      <c r="E539" s="143">
        <f>16051592.0988/1000000</f>
        <v>16.0515920988</v>
      </c>
      <c r="F539" s="197"/>
      <c r="G539" s="82">
        <v>3</v>
      </c>
      <c r="H539" s="145">
        <f>E535+E538+E539+E543</f>
        <v>34.325528403095085</v>
      </c>
    </row>
    <row r="540" spans="1:10" ht="15.75" thickBot="1">
      <c r="A540" s="7" t="s">
        <v>136</v>
      </c>
      <c r="B540" s="27">
        <v>1</v>
      </c>
      <c r="C540" s="189">
        <v>14</v>
      </c>
      <c r="D540" s="12">
        <v>2</v>
      </c>
      <c r="E540" s="143">
        <f>41576859.5483/1000000</f>
        <v>41.5768595483</v>
      </c>
      <c r="F540" s="197"/>
      <c r="G540" s="81"/>
      <c r="H540" s="173"/>
      <c r="J540" s="51"/>
    </row>
    <row r="541" spans="1:10" ht="15.75" thickBot="1">
      <c r="A541" s="7" t="s">
        <v>15</v>
      </c>
      <c r="B541" s="27">
        <v>1</v>
      </c>
      <c r="C541" s="189">
        <v>15</v>
      </c>
      <c r="D541" s="12">
        <v>2</v>
      </c>
      <c r="E541" s="143">
        <f>193881.266899/1000000</f>
        <v>0.19388126689900001</v>
      </c>
      <c r="F541" s="197"/>
      <c r="G541" s="82">
        <v>4</v>
      </c>
      <c r="H541" s="145">
        <f>E542</f>
        <v>1.7929954318999999</v>
      </c>
      <c r="J541" s="51"/>
    </row>
    <row r="542" spans="1:10" ht="15.75" thickBot="1">
      <c r="A542" s="7" t="s">
        <v>18</v>
      </c>
      <c r="B542" s="27">
        <v>3</v>
      </c>
      <c r="C542" s="189">
        <v>19</v>
      </c>
      <c r="D542" s="12">
        <v>4</v>
      </c>
      <c r="E542" s="143">
        <f>1792995.4319/1000000</f>
        <v>1.7929954318999999</v>
      </c>
      <c r="F542" s="197"/>
      <c r="G542" s="81"/>
      <c r="H542" s="173"/>
    </row>
    <row r="543" spans="1:10" ht="15.75" thickBot="1">
      <c r="A543" s="7" t="s">
        <v>322</v>
      </c>
      <c r="B543" s="27">
        <v>1</v>
      </c>
      <c r="C543" s="189">
        <v>19</v>
      </c>
      <c r="D543" s="12">
        <v>3</v>
      </c>
      <c r="E543" s="143">
        <f>15616.2379572/1000000</f>
        <v>1.5616237957200001E-2</v>
      </c>
      <c r="F543" s="197"/>
      <c r="G543" s="82">
        <v>5</v>
      </c>
      <c r="H543" s="145">
        <f>E537</f>
        <v>110.075486244</v>
      </c>
    </row>
    <row r="544" spans="1:10">
      <c r="A544" s="7" t="s">
        <v>17</v>
      </c>
      <c r="B544" s="27">
        <v>1</v>
      </c>
      <c r="C544" s="189">
        <v>15</v>
      </c>
      <c r="D544" s="12">
        <v>2</v>
      </c>
      <c r="E544" s="143">
        <f>2557454.19205/1000000</f>
        <v>2.5574541920500002</v>
      </c>
      <c r="F544" s="197"/>
      <c r="G544" s="81"/>
      <c r="H544" s="173"/>
    </row>
    <row r="545" spans="1:10" ht="15.75" thickBot="1">
      <c r="A545" s="68" t="s">
        <v>382</v>
      </c>
      <c r="B545" s="30">
        <v>1</v>
      </c>
      <c r="C545" s="188">
        <v>13</v>
      </c>
      <c r="D545" s="31">
        <v>1</v>
      </c>
      <c r="E545" s="144">
        <f>20289443.166/1000000</f>
        <v>20.289443166000002</v>
      </c>
      <c r="F545" s="198"/>
      <c r="G545" s="77"/>
      <c r="H545" s="172"/>
    </row>
    <row r="546" spans="1:10" ht="16.5" thickTop="1" thickBot="1">
      <c r="A546" s="5" t="s">
        <v>133</v>
      </c>
      <c r="B546" s="27">
        <v>1</v>
      </c>
      <c r="C546" s="189">
        <v>19</v>
      </c>
      <c r="D546" s="58">
        <v>3</v>
      </c>
      <c r="E546" s="143">
        <f>24332893.483/1000000</f>
        <v>24.332893482999999</v>
      </c>
      <c r="F546" s="229" t="s">
        <v>216</v>
      </c>
      <c r="G546" s="76"/>
      <c r="H546" s="170"/>
    </row>
    <row r="547" spans="1:10" ht="15.75" thickBot="1">
      <c r="A547" s="7" t="s">
        <v>395</v>
      </c>
      <c r="B547" s="27">
        <v>3</v>
      </c>
      <c r="C547" s="189">
        <v>16</v>
      </c>
      <c r="D547" s="12">
        <v>3</v>
      </c>
      <c r="E547" s="143">
        <f>272415.099349/1000000</f>
        <v>0.27241509934900004</v>
      </c>
      <c r="F547" s="200"/>
      <c r="G547" s="82">
        <v>2</v>
      </c>
      <c r="H547" s="145">
        <f>E548</f>
        <v>16.397894050400001</v>
      </c>
    </row>
    <row r="548" spans="1:10" ht="15.75" thickBot="1">
      <c r="A548" s="7" t="s">
        <v>396</v>
      </c>
      <c r="B548" s="27">
        <v>1</v>
      </c>
      <c r="C548" s="189">
        <v>16</v>
      </c>
      <c r="D548" s="12">
        <v>2</v>
      </c>
      <c r="E548" s="143">
        <f>16397894.0504/1000000</f>
        <v>16.397894050400001</v>
      </c>
      <c r="F548" s="200"/>
      <c r="G548" s="81"/>
      <c r="H548" s="173"/>
      <c r="J548" s="51"/>
    </row>
    <row r="549" spans="1:10" ht="15.75" thickBot="1">
      <c r="A549" s="7" t="s">
        <v>69</v>
      </c>
      <c r="B549" s="27">
        <v>2</v>
      </c>
      <c r="C549" s="189">
        <v>22</v>
      </c>
      <c r="D549" s="12">
        <v>5</v>
      </c>
      <c r="E549" s="143">
        <f>55828772.4368/1000000</f>
        <v>55.828772436800001</v>
      </c>
      <c r="F549" s="200"/>
      <c r="G549" s="82">
        <v>3</v>
      </c>
      <c r="H549" s="145">
        <f>E546+E547+E551+E552</f>
        <v>25.624905580340002</v>
      </c>
    </row>
    <row r="550" spans="1:10" ht="15.75" thickBot="1">
      <c r="A550" s="7" t="s">
        <v>86</v>
      </c>
      <c r="B550" s="27">
        <v>2</v>
      </c>
      <c r="C550" s="189">
        <v>22</v>
      </c>
      <c r="D550" s="12">
        <v>5</v>
      </c>
      <c r="E550" s="143">
        <f>526008.086493/1000000</f>
        <v>0.52600808649300002</v>
      </c>
      <c r="F550" s="200"/>
      <c r="G550" s="81"/>
      <c r="H550" s="173"/>
    </row>
    <row r="551" spans="1:10" ht="15.75" thickBot="1">
      <c r="A551" s="7" t="s">
        <v>70</v>
      </c>
      <c r="B551" s="27">
        <v>2</v>
      </c>
      <c r="C551" s="189">
        <v>17</v>
      </c>
      <c r="D551" s="12">
        <v>3</v>
      </c>
      <c r="E551" s="143">
        <f>323356.331197/1000000</f>
        <v>0.32335633119699997</v>
      </c>
      <c r="F551" s="200"/>
      <c r="G551" s="82">
        <v>5</v>
      </c>
      <c r="H551" s="145">
        <f>E549+E550</f>
        <v>56.354780523293002</v>
      </c>
    </row>
    <row r="552" spans="1:10" ht="15.75" thickBot="1">
      <c r="A552" s="29" t="s">
        <v>87</v>
      </c>
      <c r="B552" s="30">
        <v>1</v>
      </c>
      <c r="C552" s="188">
        <v>17</v>
      </c>
      <c r="D552" s="31">
        <v>3</v>
      </c>
      <c r="E552" s="144">
        <f>696240.666794/1000000</f>
        <v>0.69624066679399998</v>
      </c>
      <c r="F552" s="213"/>
      <c r="G552" s="77"/>
      <c r="H552" s="172"/>
    </row>
    <row r="553" spans="1:10" ht="16.5" thickTop="1" thickBot="1">
      <c r="A553" s="66" t="s">
        <v>25</v>
      </c>
      <c r="B553" s="60">
        <v>0</v>
      </c>
      <c r="C553" s="191">
        <v>15</v>
      </c>
      <c r="D553" s="61">
        <v>2</v>
      </c>
      <c r="E553" s="166">
        <f>253075726.3738/1000000</f>
        <v>253.07572637380002</v>
      </c>
      <c r="F553" s="86" t="s">
        <v>217</v>
      </c>
      <c r="G553" s="82">
        <v>2</v>
      </c>
      <c r="H553" s="145">
        <f>E553</f>
        <v>253.07572637380002</v>
      </c>
      <c r="J553" s="51"/>
    </row>
    <row r="554" spans="1:10" ht="16.5" thickTop="1" thickBot="1">
      <c r="A554" s="91" t="s">
        <v>22</v>
      </c>
      <c r="B554" s="27">
        <v>4</v>
      </c>
      <c r="C554" s="189">
        <v>16</v>
      </c>
      <c r="D554" s="28">
        <v>3</v>
      </c>
      <c r="E554" s="143">
        <f>38267179.5236/1000000</f>
        <v>38.267179523599999</v>
      </c>
      <c r="F554" s="196" t="s">
        <v>218</v>
      </c>
      <c r="G554" s="76"/>
      <c r="H554" s="170"/>
    </row>
    <row r="555" spans="1:10" ht="15.75" thickBot="1">
      <c r="A555" s="7" t="s">
        <v>96</v>
      </c>
      <c r="B555" s="27">
        <v>1</v>
      </c>
      <c r="C555" s="189">
        <v>23</v>
      </c>
      <c r="D555" s="12">
        <v>5</v>
      </c>
      <c r="E555" s="143">
        <f>1043894.8536/1000000</f>
        <v>1.0438948536000001</v>
      </c>
      <c r="F555" s="196"/>
      <c r="G555" s="82">
        <v>2</v>
      </c>
      <c r="H555" s="145">
        <f>E559</f>
        <v>10.7305282225</v>
      </c>
    </row>
    <row r="556" spans="1:10" ht="15.75" thickBot="1">
      <c r="A556" s="7" t="s">
        <v>77</v>
      </c>
      <c r="B556" s="27">
        <v>1</v>
      </c>
      <c r="C556" s="189">
        <v>17</v>
      </c>
      <c r="D556" s="12">
        <v>3</v>
      </c>
      <c r="E556" s="143">
        <f>45826.8153057/1000000</f>
        <v>4.58268153057E-2</v>
      </c>
      <c r="F556" s="197"/>
      <c r="G556" s="81"/>
      <c r="H556" s="173"/>
      <c r="J556" s="51"/>
    </row>
    <row r="557" spans="1:10" ht="15.75" thickBot="1">
      <c r="A557" s="7" t="s">
        <v>30</v>
      </c>
      <c r="B557" s="27">
        <v>3</v>
      </c>
      <c r="C557" s="189">
        <v>24</v>
      </c>
      <c r="D557" s="12">
        <v>5</v>
      </c>
      <c r="E557" s="143">
        <f>12340922.8524/1000000</f>
        <v>12.340922852399999</v>
      </c>
      <c r="F557" s="197"/>
      <c r="G557" s="82">
        <v>3</v>
      </c>
      <c r="H557" s="145">
        <f>E554+E556</f>
        <v>38.313006338905701</v>
      </c>
    </row>
    <row r="558" spans="1:10" ht="15.75" thickBot="1">
      <c r="A558" s="7" t="s">
        <v>138</v>
      </c>
      <c r="B558" s="27">
        <v>2</v>
      </c>
      <c r="C558" s="189">
        <v>22</v>
      </c>
      <c r="D558" s="12">
        <v>5</v>
      </c>
      <c r="E558" s="143">
        <f>88872238.0699/1000000</f>
        <v>88.872238069900007</v>
      </c>
      <c r="F558" s="197"/>
      <c r="G558" s="81"/>
      <c r="H558" s="173"/>
    </row>
    <row r="559" spans="1:10" ht="15.75" thickBot="1">
      <c r="A559" s="7" t="s">
        <v>383</v>
      </c>
      <c r="B559" s="27">
        <v>1</v>
      </c>
      <c r="C559" s="189">
        <v>16</v>
      </c>
      <c r="D559" s="12">
        <v>2</v>
      </c>
      <c r="E559" s="143">
        <f>10730528.2225/1000000</f>
        <v>10.7305282225</v>
      </c>
      <c r="F559" s="197"/>
      <c r="G559" s="82">
        <v>5</v>
      </c>
      <c r="H559" s="145">
        <f>E555+E557+E558+E560</f>
        <v>104.90087348492</v>
      </c>
    </row>
    <row r="560" spans="1:10" ht="15.75" thickBot="1">
      <c r="A560" s="29" t="s">
        <v>78</v>
      </c>
      <c r="B560" s="30">
        <v>3</v>
      </c>
      <c r="C560" s="188">
        <v>21</v>
      </c>
      <c r="D560" s="31">
        <v>5</v>
      </c>
      <c r="E560" s="144">
        <f>2643817.70902/1000000</f>
        <v>2.6438177090199999</v>
      </c>
      <c r="F560" s="198"/>
      <c r="G560" s="77"/>
      <c r="H560" s="172"/>
    </row>
    <row r="561" spans="1:10" ht="16.5" thickTop="1" thickBot="1">
      <c r="A561" s="91" t="s">
        <v>68</v>
      </c>
      <c r="B561" s="27">
        <v>2</v>
      </c>
      <c r="C561" s="189">
        <v>20</v>
      </c>
      <c r="D561" s="28">
        <v>4</v>
      </c>
      <c r="E561" s="143">
        <f>23623.6170026/1000000</f>
        <v>2.36236170026E-2</v>
      </c>
      <c r="F561" s="201" t="s">
        <v>219</v>
      </c>
      <c r="G561" s="76"/>
      <c r="H561" s="170"/>
    </row>
    <row r="562" spans="1:10" ht="15.75" thickBot="1">
      <c r="A562" s="7" t="s">
        <v>25</v>
      </c>
      <c r="B562" s="27">
        <v>0</v>
      </c>
      <c r="C562" s="189">
        <v>15</v>
      </c>
      <c r="D562" s="12">
        <v>2</v>
      </c>
      <c r="E562" s="143">
        <f>181372234.84/1000000</f>
        <v>181.37223484</v>
      </c>
      <c r="F562" s="202"/>
      <c r="G562" s="82">
        <v>1</v>
      </c>
      <c r="H562" s="145">
        <f>E567</f>
        <v>30.054882538499999</v>
      </c>
    </row>
    <row r="563" spans="1:10" ht="15.75" thickBot="1">
      <c r="A563" s="7" t="s">
        <v>130</v>
      </c>
      <c r="B563" s="27">
        <v>2</v>
      </c>
      <c r="C563" s="189">
        <v>19</v>
      </c>
      <c r="D563" s="12">
        <v>4</v>
      </c>
      <c r="E563" s="143">
        <f>53687111.0535/1000000</f>
        <v>53.687111053499997</v>
      </c>
      <c r="F563" s="202"/>
      <c r="G563" s="81"/>
      <c r="H563" s="173"/>
    </row>
    <row r="564" spans="1:10" ht="15.75" thickBot="1">
      <c r="A564" s="7" t="s">
        <v>12</v>
      </c>
      <c r="B564" s="27">
        <v>2</v>
      </c>
      <c r="C564" s="189">
        <v>19</v>
      </c>
      <c r="D564" s="12">
        <v>4</v>
      </c>
      <c r="E564" s="143">
        <f>69130288.4822/1000000</f>
        <v>69.130288482200001</v>
      </c>
      <c r="F564" s="202"/>
      <c r="G564" s="82">
        <v>2</v>
      </c>
      <c r="H564" s="145">
        <f>E562+E568+E570</f>
        <v>384.11194037430005</v>
      </c>
      <c r="J564" s="51"/>
    </row>
    <row r="565" spans="1:10" ht="15.75" thickBot="1">
      <c r="A565" s="7" t="s">
        <v>124</v>
      </c>
      <c r="B565" s="27">
        <v>0</v>
      </c>
      <c r="C565" s="189">
        <v>18</v>
      </c>
      <c r="D565" s="12">
        <v>3</v>
      </c>
      <c r="E565" s="143">
        <f>5035672.30843/1000000</f>
        <v>5.0356723084300006</v>
      </c>
      <c r="F565" s="202"/>
      <c r="G565" s="81"/>
      <c r="H565" s="173"/>
    </row>
    <row r="566" spans="1:10" ht="15.75" thickBot="1">
      <c r="A566" s="7" t="s">
        <v>368</v>
      </c>
      <c r="B566" s="27">
        <v>1</v>
      </c>
      <c r="C566" s="189">
        <v>19</v>
      </c>
      <c r="D566" s="12">
        <v>3</v>
      </c>
      <c r="E566" s="143">
        <f>6438502.59888/1000000</f>
        <v>6.4385025988800004</v>
      </c>
      <c r="F566" s="202"/>
      <c r="G566" s="82">
        <v>3</v>
      </c>
      <c r="H566" s="145">
        <f>E565+E566+E569</f>
        <v>15.582760837350001</v>
      </c>
    </row>
    <row r="567" spans="1:10" ht="15.75" thickBot="1">
      <c r="A567" s="7" t="s">
        <v>369</v>
      </c>
      <c r="B567" s="27">
        <v>0</v>
      </c>
      <c r="C567" s="189">
        <v>14</v>
      </c>
      <c r="D567" s="12">
        <v>1</v>
      </c>
      <c r="E567" s="143">
        <f>30054882.5385/1000000</f>
        <v>30.054882538499999</v>
      </c>
      <c r="F567" s="202"/>
      <c r="G567" s="81"/>
      <c r="H567" s="173"/>
    </row>
    <row r="568" spans="1:10" ht="15.75" thickBot="1">
      <c r="A568" s="7" t="s">
        <v>319</v>
      </c>
      <c r="B568" s="27">
        <v>2</v>
      </c>
      <c r="C568" s="189">
        <v>15</v>
      </c>
      <c r="D568" s="12">
        <v>2</v>
      </c>
      <c r="E568" s="143">
        <f>68948730.0523/1000000</f>
        <v>68.948730052300007</v>
      </c>
      <c r="F568" s="202"/>
      <c r="G568" s="82">
        <v>4</v>
      </c>
      <c r="H568" s="145">
        <f>E563+E564</f>
        <v>122.81739953569999</v>
      </c>
    </row>
    <row r="569" spans="1:10">
      <c r="A569" s="7" t="s">
        <v>393</v>
      </c>
      <c r="B569" s="27">
        <v>0</v>
      </c>
      <c r="C569" s="189">
        <v>19</v>
      </c>
      <c r="D569" s="12">
        <v>3</v>
      </c>
      <c r="E569" s="143">
        <f>4108585.93004/1000000</f>
        <v>4.1085859300400003</v>
      </c>
      <c r="F569" s="202"/>
      <c r="G569" s="81"/>
      <c r="H569" s="173"/>
    </row>
    <row r="570" spans="1:10" ht="15.75" thickBot="1">
      <c r="A570" s="29" t="s">
        <v>67</v>
      </c>
      <c r="B570" s="30">
        <v>1</v>
      </c>
      <c r="C570" s="188">
        <v>14</v>
      </c>
      <c r="D570" s="92">
        <v>2</v>
      </c>
      <c r="E570" s="144">
        <f>133790975.482/1000000</f>
        <v>133.79097548199999</v>
      </c>
      <c r="F570" s="203"/>
      <c r="G570" s="77"/>
      <c r="H570" s="172"/>
    </row>
    <row r="571" spans="1:10" ht="16.5" thickTop="1" thickBot="1">
      <c r="A571" s="91" t="s">
        <v>113</v>
      </c>
      <c r="B571" s="27">
        <v>1</v>
      </c>
      <c r="C571" s="189">
        <v>14</v>
      </c>
      <c r="D571" s="28">
        <v>2</v>
      </c>
      <c r="E571" s="143">
        <f>388146.317607/1000000</f>
        <v>0.38814631760700002</v>
      </c>
      <c r="F571" s="199" t="s">
        <v>220</v>
      </c>
      <c r="G571" s="76"/>
      <c r="H571" s="170"/>
    </row>
    <row r="572" spans="1:10" ht="15.75" thickBot="1">
      <c r="A572" s="7" t="s">
        <v>111</v>
      </c>
      <c r="B572" s="27">
        <v>1</v>
      </c>
      <c r="C572" s="189">
        <v>18</v>
      </c>
      <c r="D572" s="28">
        <v>3</v>
      </c>
      <c r="E572" s="143">
        <f>310475.983441/1000000</f>
        <v>0.31047598344099997</v>
      </c>
      <c r="F572" s="200"/>
      <c r="G572" s="82">
        <v>1</v>
      </c>
      <c r="H572" s="145">
        <f>E574</f>
        <v>18.8587198948</v>
      </c>
    </row>
    <row r="573" spans="1:10" ht="15.75" thickBot="1">
      <c r="A573" s="7" t="s">
        <v>112</v>
      </c>
      <c r="B573" s="27">
        <v>3</v>
      </c>
      <c r="C573" s="189">
        <v>17</v>
      </c>
      <c r="D573" s="28">
        <v>3</v>
      </c>
      <c r="E573" s="143">
        <f>7292746.88001/1000000</f>
        <v>7.2927468800100002</v>
      </c>
      <c r="F573" s="200"/>
      <c r="G573" s="82">
        <v>2</v>
      </c>
      <c r="H573" s="145">
        <f>E571+E575</f>
        <v>1.0258860122960001</v>
      </c>
    </row>
    <row r="574" spans="1:10" ht="15.75" thickBot="1">
      <c r="A574" s="7" t="s">
        <v>325</v>
      </c>
      <c r="B574" s="27">
        <v>1</v>
      </c>
      <c r="C574" s="189">
        <v>12</v>
      </c>
      <c r="D574" s="28">
        <v>1</v>
      </c>
      <c r="E574" s="143">
        <f>18858719.8948/1000000</f>
        <v>18.8587198948</v>
      </c>
      <c r="F574" s="200"/>
      <c r="G574" s="82">
        <v>3</v>
      </c>
      <c r="H574" s="145">
        <f>E572+E573</f>
        <v>7.6032228634510002</v>
      </c>
    </row>
    <row r="575" spans="1:10" ht="15.75" thickBot="1">
      <c r="A575" s="29" t="s">
        <v>24</v>
      </c>
      <c r="B575" s="30">
        <v>1</v>
      </c>
      <c r="C575" s="188">
        <v>15</v>
      </c>
      <c r="D575" s="21">
        <v>2</v>
      </c>
      <c r="E575" s="144">
        <f>637739.694689/1000000</f>
        <v>0.63773969468900005</v>
      </c>
      <c r="F575" s="198"/>
      <c r="G575" s="81"/>
      <c r="H575" s="173"/>
      <c r="J575" s="51"/>
    </row>
    <row r="576" spans="1:10" ht="16.5" thickTop="1" thickBot="1">
      <c r="A576" s="91" t="s">
        <v>113</v>
      </c>
      <c r="B576" s="27">
        <v>1</v>
      </c>
      <c r="C576" s="189">
        <v>14</v>
      </c>
      <c r="D576" s="22">
        <v>2</v>
      </c>
      <c r="E576" s="143">
        <f>91793819.3041/1000000</f>
        <v>91.793819304100012</v>
      </c>
      <c r="F576" s="201" t="s">
        <v>221</v>
      </c>
      <c r="G576" s="82">
        <v>2</v>
      </c>
      <c r="H576" s="145">
        <f>E576+E577</f>
        <v>100.77969813604001</v>
      </c>
    </row>
    <row r="577" spans="1:10" ht="15.75" thickBot="1">
      <c r="A577" s="7" t="s">
        <v>317</v>
      </c>
      <c r="B577" s="27">
        <v>2</v>
      </c>
      <c r="C577" s="189">
        <v>15</v>
      </c>
      <c r="D577" s="87">
        <v>2</v>
      </c>
      <c r="E577" s="143">
        <f>8985878.83194/1000000</f>
        <v>8.9858788319400009</v>
      </c>
      <c r="F577" s="231"/>
      <c r="G577" s="82">
        <v>3</v>
      </c>
      <c r="H577" s="145">
        <f>E578</f>
        <v>0.67003349614599994</v>
      </c>
      <c r="J577" s="51"/>
    </row>
    <row r="578" spans="1:10" ht="15.75" thickBot="1">
      <c r="A578" s="29" t="s">
        <v>111</v>
      </c>
      <c r="B578" s="30">
        <v>1</v>
      </c>
      <c r="C578" s="188">
        <v>18</v>
      </c>
      <c r="D578" s="31">
        <v>3</v>
      </c>
      <c r="E578" s="144">
        <f>670033.496146/1000000</f>
        <v>0.67003349614599994</v>
      </c>
      <c r="F578" s="203"/>
      <c r="G578" s="77"/>
      <c r="H578" s="172"/>
    </row>
    <row r="579" spans="1:10" ht="15.75" thickTop="1">
      <c r="A579" s="91" t="s">
        <v>16</v>
      </c>
      <c r="B579" s="27">
        <v>1</v>
      </c>
      <c r="C579" s="189">
        <v>14</v>
      </c>
      <c r="D579" s="28">
        <v>2</v>
      </c>
      <c r="E579" s="143">
        <f>48322.0963894/1000000</f>
        <v>4.83220963894E-2</v>
      </c>
      <c r="F579" s="196" t="s">
        <v>222</v>
      </c>
      <c r="G579" s="76"/>
      <c r="H579" s="170"/>
    </row>
    <row r="580" spans="1:10" ht="15.75" thickBot="1">
      <c r="A580" s="7" t="s">
        <v>115</v>
      </c>
      <c r="B580" s="27">
        <v>0</v>
      </c>
      <c r="C580" s="189">
        <v>15</v>
      </c>
      <c r="D580" s="12">
        <v>2</v>
      </c>
      <c r="E580" s="143">
        <f>642346.696607/1000000</f>
        <v>0.64234669660699995</v>
      </c>
      <c r="F580" s="197"/>
      <c r="G580" s="81"/>
      <c r="H580" s="173"/>
    </row>
    <row r="581" spans="1:10" ht="15.75" thickBot="1">
      <c r="A581" s="7" t="s">
        <v>114</v>
      </c>
      <c r="B581" s="27">
        <v>3</v>
      </c>
      <c r="C581" s="189">
        <v>17</v>
      </c>
      <c r="D581" s="12">
        <v>3</v>
      </c>
      <c r="E581" s="143">
        <f>29513076.9869/1000000</f>
        <v>29.513076986900003</v>
      </c>
      <c r="F581" s="197"/>
      <c r="G581" s="82">
        <v>2</v>
      </c>
      <c r="H581" s="145">
        <f>E579+E580+E587+E589+E590</f>
        <v>57.861217764796407</v>
      </c>
    </row>
    <row r="582" spans="1:10">
      <c r="A582" s="7" t="s">
        <v>49</v>
      </c>
      <c r="B582" s="27">
        <v>1</v>
      </c>
      <c r="C582" s="189">
        <v>20</v>
      </c>
      <c r="D582" s="12">
        <v>4</v>
      </c>
      <c r="E582" s="143">
        <f>2434327.29847/1000000</f>
        <v>2.43432729847</v>
      </c>
      <c r="F582" s="197"/>
      <c r="G582" s="81"/>
      <c r="H582" s="173"/>
    </row>
    <row r="583" spans="1:10" ht="15.75" thickBot="1">
      <c r="A583" s="7" t="s">
        <v>141</v>
      </c>
      <c r="B583" s="27">
        <v>1</v>
      </c>
      <c r="C583" s="189">
        <v>18</v>
      </c>
      <c r="D583" s="12">
        <v>3</v>
      </c>
      <c r="E583" s="143">
        <f>9817653.249/1000000</f>
        <v>9.8176532489999992</v>
      </c>
      <c r="F583" s="197"/>
      <c r="G583" s="81"/>
      <c r="H583" s="173"/>
    </row>
    <row r="584" spans="1:10" ht="15.75" thickBot="1">
      <c r="A584" s="7" t="s">
        <v>18</v>
      </c>
      <c r="B584" s="27">
        <v>3</v>
      </c>
      <c r="C584" s="189">
        <v>19</v>
      </c>
      <c r="D584" s="12">
        <v>4</v>
      </c>
      <c r="E584" s="143">
        <f>6240.85792746/1000000</f>
        <v>6.2408579274600001E-3</v>
      </c>
      <c r="F584" s="197"/>
      <c r="G584" s="82">
        <v>3</v>
      </c>
      <c r="H584" s="145">
        <f>E581+E583+E585+E588</f>
        <v>90.311747047200015</v>
      </c>
      <c r="J584" s="51"/>
    </row>
    <row r="585" spans="1:10">
      <c r="A585" s="7" t="s">
        <v>144</v>
      </c>
      <c r="B585" s="27">
        <v>2</v>
      </c>
      <c r="C585" s="189">
        <v>18</v>
      </c>
      <c r="D585" s="12">
        <v>3</v>
      </c>
      <c r="E585" s="143">
        <f>22302741.9756/1000000</f>
        <v>22.3027419756</v>
      </c>
      <c r="F585" s="197"/>
      <c r="G585" s="81"/>
      <c r="H585" s="173"/>
      <c r="J585" s="51"/>
    </row>
    <row r="586" spans="1:10" ht="15.75" thickBot="1">
      <c r="A586" s="7" t="s">
        <v>143</v>
      </c>
      <c r="B586" s="27">
        <v>1</v>
      </c>
      <c r="C586" s="189">
        <v>20</v>
      </c>
      <c r="D586" s="12">
        <v>4</v>
      </c>
      <c r="E586" s="143">
        <f>2994111.76763/1000000</f>
        <v>2.9941117676300002</v>
      </c>
      <c r="F586" s="197"/>
      <c r="G586" s="81"/>
      <c r="H586" s="173"/>
      <c r="J586" s="51"/>
    </row>
    <row r="587" spans="1:10" ht="15.75" thickBot="1">
      <c r="A587" s="7" t="s">
        <v>118</v>
      </c>
      <c r="B587" s="27">
        <v>1</v>
      </c>
      <c r="C587" s="189">
        <v>14</v>
      </c>
      <c r="D587" s="12">
        <v>2</v>
      </c>
      <c r="E587" s="143">
        <f>11975924.446/1000000</f>
        <v>11.975924446000001</v>
      </c>
      <c r="F587" s="197"/>
      <c r="G587" s="82">
        <v>4</v>
      </c>
      <c r="H587" s="145">
        <f>E582+E586+E584</f>
        <v>5.4346799240274599</v>
      </c>
      <c r="J587" s="51"/>
    </row>
    <row r="588" spans="1:10">
      <c r="A588" s="7" t="s">
        <v>80</v>
      </c>
      <c r="B588" s="27">
        <v>1</v>
      </c>
      <c r="C588" s="189">
        <v>18</v>
      </c>
      <c r="D588" s="12">
        <v>3</v>
      </c>
      <c r="E588" s="143">
        <f>28678274.8357/1000000</f>
        <v>28.678274835700002</v>
      </c>
      <c r="F588" s="197"/>
      <c r="G588" s="81"/>
      <c r="H588" s="173"/>
    </row>
    <row r="589" spans="1:10">
      <c r="A589" s="7" t="s">
        <v>79</v>
      </c>
      <c r="B589" s="27">
        <v>1</v>
      </c>
      <c r="C589" s="189">
        <v>14</v>
      </c>
      <c r="D589" s="12">
        <v>2</v>
      </c>
      <c r="E589" s="143">
        <f>30735935.6275/1000000</f>
        <v>30.735935627500002</v>
      </c>
      <c r="F589" s="197"/>
      <c r="G589" s="81"/>
      <c r="H589" s="173"/>
    </row>
    <row r="590" spans="1:10" ht="15.75" thickBot="1">
      <c r="A590" s="29" t="s">
        <v>359</v>
      </c>
      <c r="B590" s="30">
        <v>1</v>
      </c>
      <c r="C590" s="188">
        <v>16</v>
      </c>
      <c r="D590" s="31">
        <v>2</v>
      </c>
      <c r="E590" s="144">
        <f>14458688.8983/1000000</f>
        <v>14.4586888983</v>
      </c>
      <c r="F590" s="204"/>
      <c r="G590" s="77"/>
      <c r="H590" s="172"/>
    </row>
    <row r="591" spans="1:10" ht="16.5" thickTop="1" thickBot="1">
      <c r="A591" s="26" t="s">
        <v>62</v>
      </c>
      <c r="B591" s="94">
        <v>0</v>
      </c>
      <c r="C591" s="192">
        <v>15</v>
      </c>
      <c r="D591" s="58">
        <v>2</v>
      </c>
      <c r="E591" s="143">
        <f>374.257087/1000000</f>
        <v>3.74257087E-4</v>
      </c>
      <c r="F591" s="229" t="s">
        <v>223</v>
      </c>
      <c r="G591" s="82">
        <v>2</v>
      </c>
      <c r="H591" s="145">
        <f>E592+E591</f>
        <v>75.499298524794014</v>
      </c>
      <c r="J591" s="51"/>
    </row>
    <row r="592" spans="1:10" ht="15.75" thickBot="1">
      <c r="A592" s="95" t="s">
        <v>110</v>
      </c>
      <c r="B592" s="93">
        <v>0</v>
      </c>
      <c r="C592" s="188">
        <v>15</v>
      </c>
      <c r="D592" s="92">
        <v>2</v>
      </c>
      <c r="E592" s="144">
        <f>75498924.267707/1000000</f>
        <v>75.498924267707011</v>
      </c>
      <c r="F592" s="200"/>
      <c r="G592" s="77"/>
      <c r="H592" s="172"/>
    </row>
    <row r="593" spans="1:10" ht="16.5" thickTop="1" thickBot="1">
      <c r="A593" s="95" t="s">
        <v>25</v>
      </c>
      <c r="B593" s="30">
        <v>0</v>
      </c>
      <c r="C593" s="191">
        <v>15</v>
      </c>
      <c r="D593" s="96">
        <v>2</v>
      </c>
      <c r="E593" s="167">
        <f>124503672.162904/1000000</f>
        <v>124.503672162904</v>
      </c>
      <c r="F593" s="86" t="s">
        <v>224</v>
      </c>
      <c r="G593" s="82">
        <v>2</v>
      </c>
      <c r="H593" s="137">
        <f>E593</f>
        <v>124.503672162904</v>
      </c>
      <c r="J593" s="51"/>
    </row>
    <row r="594" spans="1:10" ht="16.5" thickTop="1" thickBot="1">
      <c r="A594" s="91" t="s">
        <v>323</v>
      </c>
      <c r="B594" s="27">
        <v>1</v>
      </c>
      <c r="C594" s="189">
        <v>19</v>
      </c>
      <c r="D594" s="22">
        <v>3</v>
      </c>
      <c r="E594" s="143">
        <f>18681.6217932/1000000</f>
        <v>1.8681621793200001E-2</v>
      </c>
      <c r="F594" s="196" t="s">
        <v>225</v>
      </c>
      <c r="G594" s="76"/>
      <c r="H594" s="170"/>
    </row>
    <row r="595" spans="1:10" ht="15.75" thickBot="1">
      <c r="A595" s="7" t="s">
        <v>121</v>
      </c>
      <c r="B595" s="27">
        <v>1</v>
      </c>
      <c r="C595" s="189">
        <v>20</v>
      </c>
      <c r="D595" s="12">
        <v>4</v>
      </c>
      <c r="E595" s="143">
        <f>61097.6864386/1000000</f>
        <v>6.1097686438600002E-2</v>
      </c>
      <c r="F595" s="197"/>
      <c r="G595" s="82">
        <v>3</v>
      </c>
      <c r="H595" s="145">
        <f>E594+E599</f>
        <v>98.111069231693207</v>
      </c>
    </row>
    <row r="596" spans="1:10" ht="15.75" thickBot="1">
      <c r="A596" s="7" t="s">
        <v>42</v>
      </c>
      <c r="B596" s="27">
        <v>1</v>
      </c>
      <c r="C596" s="189">
        <v>20</v>
      </c>
      <c r="D596" s="12">
        <v>4</v>
      </c>
      <c r="E596" s="143">
        <f>6857680.14812/1000000</f>
        <v>6.85768014812</v>
      </c>
      <c r="F596" s="197"/>
      <c r="G596" s="82">
        <v>4</v>
      </c>
      <c r="H596" s="145">
        <f>E595+E596+E598</f>
        <v>13.147676880958601</v>
      </c>
      <c r="J596" s="51"/>
    </row>
    <row r="597" spans="1:10" ht="15.75" thickBot="1">
      <c r="A597" s="7" t="s">
        <v>36</v>
      </c>
      <c r="B597" s="27">
        <v>1</v>
      </c>
      <c r="C597" s="189">
        <v>23</v>
      </c>
      <c r="D597" s="12">
        <v>5</v>
      </c>
      <c r="E597" s="143">
        <f>15434180.3385/1000000</f>
        <v>15.434180338500001</v>
      </c>
      <c r="F597" s="197"/>
      <c r="G597" s="82">
        <v>5</v>
      </c>
      <c r="H597" s="145">
        <f>E597</f>
        <v>15.434180338500001</v>
      </c>
    </row>
    <row r="598" spans="1:10">
      <c r="A598" s="7" t="s">
        <v>327</v>
      </c>
      <c r="B598" s="27">
        <v>1</v>
      </c>
      <c r="C598" s="189">
        <v>22</v>
      </c>
      <c r="D598" s="12">
        <v>4</v>
      </c>
      <c r="E598" s="143">
        <f>6228899.0464/1000000</f>
        <v>6.2288990464000005</v>
      </c>
      <c r="F598" s="197"/>
      <c r="G598" s="81"/>
      <c r="H598" s="173"/>
    </row>
    <row r="599" spans="1:10" ht="15.75" thickBot="1">
      <c r="A599" s="95" t="s">
        <v>116</v>
      </c>
      <c r="B599" s="30">
        <v>1</v>
      </c>
      <c r="C599" s="188">
        <v>17</v>
      </c>
      <c r="D599" s="31">
        <v>3</v>
      </c>
      <c r="E599" s="144">
        <f>98092387.6099/1000000</f>
        <v>98.092387609900001</v>
      </c>
      <c r="F599" s="204"/>
      <c r="G599" s="77"/>
      <c r="H599" s="172"/>
    </row>
    <row r="600" spans="1:10" ht="16.5" thickTop="1" thickBot="1">
      <c r="A600" s="91" t="s">
        <v>349</v>
      </c>
      <c r="B600" s="27">
        <v>1</v>
      </c>
      <c r="C600" s="189">
        <v>12</v>
      </c>
      <c r="D600" s="12">
        <v>1</v>
      </c>
      <c r="E600" s="143">
        <f>3497206.92079/1000000</f>
        <v>3.4972069207900001</v>
      </c>
      <c r="F600" s="232" t="s">
        <v>226</v>
      </c>
      <c r="G600" s="76"/>
      <c r="H600" s="170"/>
    </row>
    <row r="601" spans="1:10" ht="15.75" thickBot="1">
      <c r="A601" s="7" t="s">
        <v>351</v>
      </c>
      <c r="B601" s="27">
        <v>1</v>
      </c>
      <c r="C601" s="189">
        <v>22</v>
      </c>
      <c r="D601" s="12">
        <v>4</v>
      </c>
      <c r="E601" s="143">
        <f>25311699.9999/1000000</f>
        <v>25.3116999999</v>
      </c>
      <c r="F601" s="202"/>
      <c r="G601" s="82">
        <v>1</v>
      </c>
      <c r="H601" s="145">
        <f>E600+E604+E605</f>
        <v>20.919672717580003</v>
      </c>
    </row>
    <row r="602" spans="1:10" ht="15.75" thickBot="1">
      <c r="A602" s="7" t="s">
        <v>147</v>
      </c>
      <c r="B602" s="27">
        <v>2</v>
      </c>
      <c r="C602" s="189">
        <v>20</v>
      </c>
      <c r="D602" s="12">
        <v>4</v>
      </c>
      <c r="E602" s="143">
        <f>46537307.2141/1000000</f>
        <v>46.537307214100004</v>
      </c>
      <c r="F602" s="202"/>
      <c r="G602" s="81"/>
      <c r="H602" s="173"/>
      <c r="J602" s="51"/>
    </row>
    <row r="603" spans="1:10" ht="15.75" thickBot="1">
      <c r="A603" s="7" t="s">
        <v>52</v>
      </c>
      <c r="B603" s="27">
        <v>2</v>
      </c>
      <c r="C603" s="189">
        <v>19</v>
      </c>
      <c r="D603" s="12">
        <v>4</v>
      </c>
      <c r="E603" s="143">
        <f>24127133.5784/1000000</f>
        <v>24.127133578400002</v>
      </c>
      <c r="F603" s="202"/>
      <c r="G603" s="82">
        <v>2</v>
      </c>
      <c r="H603" s="145">
        <f>E608</f>
        <v>30.987719400899998</v>
      </c>
      <c r="J603" s="51"/>
    </row>
    <row r="604" spans="1:10" ht="15.75" thickBot="1">
      <c r="A604" s="7" t="s">
        <v>352</v>
      </c>
      <c r="B604" s="27">
        <v>1</v>
      </c>
      <c r="C604" s="189">
        <v>11</v>
      </c>
      <c r="D604" s="12">
        <v>1</v>
      </c>
      <c r="E604" s="143">
        <f>11581881.1334/1000000</f>
        <v>11.581881133400001</v>
      </c>
      <c r="F604" s="202"/>
      <c r="G604" s="81"/>
      <c r="H604" s="173"/>
    </row>
    <row r="605" spans="1:10" ht="15.75" thickBot="1">
      <c r="A605" s="7" t="s">
        <v>353</v>
      </c>
      <c r="B605" s="27">
        <v>1</v>
      </c>
      <c r="C605" s="189">
        <v>9</v>
      </c>
      <c r="D605" s="12">
        <v>1</v>
      </c>
      <c r="E605" s="143">
        <f>5840584.66339/1000000</f>
        <v>5.8405846633900005</v>
      </c>
      <c r="F605" s="202"/>
      <c r="G605" s="82">
        <v>3</v>
      </c>
      <c r="H605" s="145">
        <f>E606+E607</f>
        <v>0.74285048616549998</v>
      </c>
    </row>
    <row r="606" spans="1:10" ht="15.75" thickBot="1">
      <c r="A606" s="7" t="s">
        <v>94</v>
      </c>
      <c r="B606" s="27">
        <v>3</v>
      </c>
      <c r="C606" s="189">
        <v>16</v>
      </c>
      <c r="D606" s="12">
        <v>3</v>
      </c>
      <c r="E606" s="143">
        <f>657679.330063/1000000</f>
        <v>0.65767933006299995</v>
      </c>
      <c r="F606" s="202"/>
      <c r="G606" s="81"/>
      <c r="H606" s="173"/>
    </row>
    <row r="607" spans="1:10" ht="15.75" thickBot="1">
      <c r="A607" s="7" t="s">
        <v>354</v>
      </c>
      <c r="B607" s="27">
        <v>0</v>
      </c>
      <c r="C607" s="189">
        <v>19</v>
      </c>
      <c r="D607" s="12">
        <v>3</v>
      </c>
      <c r="E607" s="143">
        <f>85171.1561025/1000000</f>
        <v>8.5171156102499992E-2</v>
      </c>
      <c r="F607" s="202"/>
      <c r="G607" s="82">
        <v>4</v>
      </c>
      <c r="H607" s="145">
        <f>E601+E602+E603</f>
        <v>95.976140792400017</v>
      </c>
    </row>
    <row r="608" spans="1:10" ht="15.75" thickBot="1">
      <c r="A608" s="95" t="s">
        <v>356</v>
      </c>
      <c r="B608" s="93">
        <v>0</v>
      </c>
      <c r="C608" s="188">
        <v>16</v>
      </c>
      <c r="D608" s="21">
        <v>2</v>
      </c>
      <c r="E608" s="144">
        <f>30987719.4009/1000000</f>
        <v>30.987719400899998</v>
      </c>
      <c r="F608" s="203"/>
      <c r="G608" s="77"/>
      <c r="H608" s="172"/>
    </row>
    <row r="609" spans="1:10" ht="15.75" thickTop="1">
      <c r="A609" s="91" t="s">
        <v>120</v>
      </c>
      <c r="B609" s="27">
        <v>1</v>
      </c>
      <c r="C609" s="189">
        <v>20</v>
      </c>
      <c r="D609" s="22">
        <v>4</v>
      </c>
      <c r="E609" s="143">
        <f>9577.66236372/1000000</f>
        <v>9.5776623637199992E-3</v>
      </c>
      <c r="F609" s="196" t="s">
        <v>227</v>
      </c>
      <c r="G609" s="76"/>
      <c r="H609" s="170"/>
    </row>
    <row r="610" spans="1:10" ht="15.75" thickBot="1">
      <c r="A610" s="7" t="s">
        <v>40</v>
      </c>
      <c r="B610" s="27">
        <v>1</v>
      </c>
      <c r="C610" s="189">
        <v>23</v>
      </c>
      <c r="D610" s="12">
        <v>5</v>
      </c>
      <c r="E610" s="143">
        <f>671777.193362/1000000</f>
        <v>0.67177719336200004</v>
      </c>
      <c r="F610" s="197"/>
      <c r="G610" s="81"/>
      <c r="H610" s="173"/>
    </row>
    <row r="611" spans="1:10" ht="15.75" thickBot="1">
      <c r="A611" s="7" t="s">
        <v>35</v>
      </c>
      <c r="B611" s="27">
        <v>1</v>
      </c>
      <c r="C611" s="189">
        <v>14</v>
      </c>
      <c r="D611" s="12">
        <v>2</v>
      </c>
      <c r="E611" s="143">
        <f>13058988.1252/1000000</f>
        <v>13.058988125199999</v>
      </c>
      <c r="F611" s="197"/>
      <c r="G611" s="82">
        <v>2</v>
      </c>
      <c r="H611" s="145">
        <f>E611</f>
        <v>13.058988125199999</v>
      </c>
    </row>
    <row r="612" spans="1:10" ht="15.75" thickBot="1">
      <c r="A612" s="7" t="s">
        <v>150</v>
      </c>
      <c r="B612" s="27">
        <v>2</v>
      </c>
      <c r="C612" s="189">
        <v>22</v>
      </c>
      <c r="D612" s="12">
        <v>5</v>
      </c>
      <c r="E612" s="143">
        <f>74859200.799/1000000</f>
        <v>74.859200798999993</v>
      </c>
      <c r="F612" s="197"/>
      <c r="G612" s="82">
        <v>3</v>
      </c>
      <c r="H612" s="145">
        <f>E613+E614+E615+E616</f>
        <v>53.971859982574003</v>
      </c>
    </row>
    <row r="613" spans="1:10" ht="15.75" thickBot="1">
      <c r="A613" s="7" t="s">
        <v>10</v>
      </c>
      <c r="B613" s="27">
        <v>1</v>
      </c>
      <c r="C613" s="189">
        <v>17</v>
      </c>
      <c r="D613" s="12">
        <v>3</v>
      </c>
      <c r="E613" s="143">
        <f>11563926.7919/1000000</f>
        <v>11.5639267919</v>
      </c>
      <c r="F613" s="197"/>
      <c r="G613" s="82">
        <v>4</v>
      </c>
      <c r="H613" s="145">
        <f>E609</f>
        <v>9.5776623637199992E-3</v>
      </c>
    </row>
    <row r="614" spans="1:10" ht="15.75" thickBot="1">
      <c r="A614" s="7" t="s">
        <v>100</v>
      </c>
      <c r="B614" s="27">
        <v>1</v>
      </c>
      <c r="C614" s="189">
        <v>19</v>
      </c>
      <c r="D614" s="12">
        <v>3</v>
      </c>
      <c r="E614" s="143">
        <f>37616049.8785/1000000</f>
        <v>37.6160498785</v>
      </c>
      <c r="F614" s="197"/>
      <c r="G614" s="82">
        <v>5</v>
      </c>
      <c r="H614" s="145">
        <f>E610+E612</f>
        <v>75.530977992361997</v>
      </c>
      <c r="J614" s="51"/>
    </row>
    <row r="615" spans="1:10">
      <c r="A615" s="7" t="s">
        <v>37</v>
      </c>
      <c r="B615" s="27">
        <v>1</v>
      </c>
      <c r="C615" s="189">
        <v>18</v>
      </c>
      <c r="D615" s="12">
        <v>3</v>
      </c>
      <c r="E615" s="143">
        <f>148180.332474/1000000</f>
        <v>0.148180332474</v>
      </c>
      <c r="F615" s="197"/>
      <c r="G615" s="81"/>
      <c r="H615" s="173"/>
    </row>
    <row r="616" spans="1:10" ht="15.75" thickBot="1">
      <c r="A616" s="95" t="s">
        <v>41</v>
      </c>
      <c r="B616" s="93">
        <v>1</v>
      </c>
      <c r="C616" s="188">
        <v>18</v>
      </c>
      <c r="D616" s="21">
        <v>3</v>
      </c>
      <c r="E616" s="144">
        <f>4643702.9797/1000000</f>
        <v>4.6437029797000005</v>
      </c>
      <c r="F616" s="204"/>
      <c r="G616" s="81"/>
      <c r="H616" s="173"/>
    </row>
    <row r="617" spans="1:10" ht="16.5" thickTop="1" thickBot="1">
      <c r="A617" s="91" t="s">
        <v>360</v>
      </c>
      <c r="B617" s="27">
        <v>1</v>
      </c>
      <c r="C617" s="189">
        <v>11</v>
      </c>
      <c r="D617" s="64">
        <v>1</v>
      </c>
      <c r="E617" s="143">
        <f>721684.347194/1000000</f>
        <v>0.72168434719399999</v>
      </c>
      <c r="F617" s="201" t="s">
        <v>228</v>
      </c>
      <c r="G617" s="82">
        <v>1</v>
      </c>
      <c r="H617" s="145">
        <f>E617</f>
        <v>0.72168434719399999</v>
      </c>
      <c r="J617" s="51"/>
    </row>
    <row r="618" spans="1:10" ht="15.75" thickBot="1">
      <c r="A618" s="7" t="s">
        <v>361</v>
      </c>
      <c r="B618" s="27">
        <v>2</v>
      </c>
      <c r="C618" s="189">
        <v>15</v>
      </c>
      <c r="D618" s="28">
        <v>2</v>
      </c>
      <c r="E618" s="143">
        <f>33720220.6528/1000000</f>
        <v>33.720220652800002</v>
      </c>
      <c r="F618" s="231"/>
      <c r="G618" s="82">
        <v>2</v>
      </c>
      <c r="H618" s="145">
        <f>E618</f>
        <v>33.720220652800002</v>
      </c>
      <c r="J618" s="51"/>
    </row>
    <row r="619" spans="1:10" ht="15.75" thickBot="1">
      <c r="A619" s="7" t="s">
        <v>102</v>
      </c>
      <c r="B619" s="27">
        <v>2</v>
      </c>
      <c r="C619" s="189">
        <v>22</v>
      </c>
      <c r="D619" s="28">
        <v>5</v>
      </c>
      <c r="E619" s="143">
        <f>679939.175897/1000000</f>
        <v>0.67993917589700004</v>
      </c>
      <c r="F619" s="231"/>
      <c r="G619" s="82">
        <v>4</v>
      </c>
      <c r="H619" s="145">
        <f>E620</f>
        <v>6.1135439084100001E-4</v>
      </c>
      <c r="J619" s="51"/>
    </row>
    <row r="620" spans="1:10" ht="15.75" thickBot="1">
      <c r="A620" s="95" t="s">
        <v>103</v>
      </c>
      <c r="B620" s="93">
        <v>3</v>
      </c>
      <c r="C620" s="188">
        <v>19</v>
      </c>
      <c r="D620" s="92">
        <v>4</v>
      </c>
      <c r="E620" s="144">
        <f>611.354390841/1000000</f>
        <v>6.1135439084100001E-4</v>
      </c>
      <c r="F620" s="203"/>
      <c r="G620" s="82">
        <v>5</v>
      </c>
      <c r="H620" s="145">
        <f>E619</f>
        <v>0.67993917589700004</v>
      </c>
    </row>
    <row r="621" spans="1:10" ht="16.5" thickTop="1" thickBot="1">
      <c r="A621" s="91" t="s">
        <v>90</v>
      </c>
      <c r="B621" s="27">
        <v>1</v>
      </c>
      <c r="C621" s="189">
        <v>17</v>
      </c>
      <c r="D621" s="64">
        <v>3</v>
      </c>
      <c r="E621" s="143">
        <f>129599.190575/1000000</f>
        <v>0.129599190575</v>
      </c>
      <c r="F621" s="230" t="s">
        <v>229</v>
      </c>
      <c r="G621" s="71"/>
      <c r="H621" s="170"/>
    </row>
    <row r="622" spans="1:10" ht="15.75" thickBot="1">
      <c r="A622" s="7" t="s">
        <v>89</v>
      </c>
      <c r="B622" s="27">
        <v>1</v>
      </c>
      <c r="C622" s="189">
        <v>14</v>
      </c>
      <c r="D622" s="28">
        <v>2</v>
      </c>
      <c r="E622" s="143">
        <f>7803.79505438/1000000</f>
        <v>7.8037950543800002E-3</v>
      </c>
      <c r="F622" s="231"/>
      <c r="G622" s="82">
        <v>2</v>
      </c>
      <c r="H622" s="145">
        <f>E622+E626</f>
        <v>0.24232258446538002</v>
      </c>
    </row>
    <row r="623" spans="1:10" ht="15.75" thickBot="1">
      <c r="A623" s="7" t="s">
        <v>147</v>
      </c>
      <c r="B623" s="27">
        <v>2</v>
      </c>
      <c r="C623" s="189">
        <v>20</v>
      </c>
      <c r="D623" s="28">
        <v>4</v>
      </c>
      <c r="E623" s="143">
        <f>32641595.1281/1000000</f>
        <v>32.641595128100001</v>
      </c>
      <c r="F623" s="231"/>
      <c r="G623" s="81"/>
      <c r="H623" s="173"/>
    </row>
    <row r="624" spans="1:10" ht="15.75" thickBot="1">
      <c r="A624" s="7" t="s">
        <v>107</v>
      </c>
      <c r="B624" s="27">
        <v>2</v>
      </c>
      <c r="C624" s="189">
        <v>20</v>
      </c>
      <c r="D624" s="28">
        <v>4</v>
      </c>
      <c r="E624" s="143">
        <f>8582043.01868/1000000</f>
        <v>8.5820430186800003</v>
      </c>
      <c r="F624" s="231"/>
      <c r="G624" s="82">
        <v>3</v>
      </c>
      <c r="H624" s="145">
        <f>E621+E625</f>
        <v>39.317247324975</v>
      </c>
    </row>
    <row r="625" spans="1:10" ht="15.75" thickBot="1">
      <c r="A625" s="7" t="s">
        <v>94</v>
      </c>
      <c r="B625" s="27">
        <v>3</v>
      </c>
      <c r="C625" s="189">
        <v>16</v>
      </c>
      <c r="D625" s="28">
        <v>3</v>
      </c>
      <c r="E625" s="143">
        <f>39187648.1344/1000000</f>
        <v>39.1876481344</v>
      </c>
      <c r="F625" s="231"/>
      <c r="G625" s="81"/>
      <c r="H625" s="173"/>
    </row>
    <row r="626" spans="1:10" ht="15.75" thickBot="1">
      <c r="A626" s="7" t="s">
        <v>356</v>
      </c>
      <c r="B626" s="27">
        <v>0</v>
      </c>
      <c r="C626" s="189">
        <v>16</v>
      </c>
      <c r="D626" s="12">
        <v>2</v>
      </c>
      <c r="E626" s="143">
        <f>234518.789411/1000000</f>
        <v>0.23451878941100002</v>
      </c>
      <c r="F626" s="231"/>
      <c r="G626" s="82">
        <v>4</v>
      </c>
      <c r="H626" s="145">
        <f>E623+E624+E627</f>
        <v>42.063597077305005</v>
      </c>
      <c r="J626" s="51"/>
    </row>
    <row r="627" spans="1:10" ht="15.75" thickBot="1">
      <c r="A627" s="95" t="s">
        <v>378</v>
      </c>
      <c r="B627" s="93">
        <v>1</v>
      </c>
      <c r="C627" s="188">
        <v>21</v>
      </c>
      <c r="D627" s="92">
        <v>4</v>
      </c>
      <c r="E627" s="144">
        <f>839958.930525/1000000</f>
        <v>0.83995893052499992</v>
      </c>
      <c r="F627" s="231"/>
      <c r="G627" s="77"/>
      <c r="H627" s="78"/>
    </row>
    <row r="628" spans="1:10" ht="15.75" thickTop="1">
      <c r="B628" s="97"/>
      <c r="F628" s="97"/>
    </row>
  </sheetData>
  <mergeCells count="72">
    <mergeCell ref="F621:F627"/>
    <mergeCell ref="F600:F608"/>
    <mergeCell ref="F609:F616"/>
    <mergeCell ref="F617:F620"/>
    <mergeCell ref="F591:F592"/>
    <mergeCell ref="F561:F570"/>
    <mergeCell ref="F571:F575"/>
    <mergeCell ref="F576:F578"/>
    <mergeCell ref="F579:F590"/>
    <mergeCell ref="F594:F599"/>
    <mergeCell ref="F519:F526"/>
    <mergeCell ref="F527:F529"/>
    <mergeCell ref="F530:F533"/>
    <mergeCell ref="F534:F545"/>
    <mergeCell ref="F554:F560"/>
    <mergeCell ref="F546:F552"/>
    <mergeCell ref="F449:F457"/>
    <mergeCell ref="F458:F466"/>
    <mergeCell ref="F467:F495"/>
    <mergeCell ref="F496:F501"/>
    <mergeCell ref="F502:F518"/>
    <mergeCell ref="F408:F415"/>
    <mergeCell ref="F416:F422"/>
    <mergeCell ref="F423:F431"/>
    <mergeCell ref="F432:F441"/>
    <mergeCell ref="F442:F448"/>
    <mergeCell ref="F368:F370"/>
    <mergeCell ref="F371:F378"/>
    <mergeCell ref="F379:F386"/>
    <mergeCell ref="F387:F395"/>
    <mergeCell ref="F396:F407"/>
    <mergeCell ref="F314:F325"/>
    <mergeCell ref="F326:F340"/>
    <mergeCell ref="F341:F359"/>
    <mergeCell ref="F360:F365"/>
    <mergeCell ref="F366:F367"/>
    <mergeCell ref="F270:F276"/>
    <mergeCell ref="F290:F300"/>
    <mergeCell ref="F301:F313"/>
    <mergeCell ref="F277:F279"/>
    <mergeCell ref="F280:F289"/>
    <mergeCell ref="F2:F12"/>
    <mergeCell ref="F174:F179"/>
    <mergeCell ref="F13:F24"/>
    <mergeCell ref="F25:F29"/>
    <mergeCell ref="F34:F37"/>
    <mergeCell ref="F38:F39"/>
    <mergeCell ref="F40:F51"/>
    <mergeCell ref="F52:F66"/>
    <mergeCell ref="F72:F75"/>
    <mergeCell ref="F76:F89"/>
    <mergeCell ref="F90:F94"/>
    <mergeCell ref="F96:F113"/>
    <mergeCell ref="F115:F121"/>
    <mergeCell ref="F122:F155"/>
    <mergeCell ref="F30:F33"/>
    <mergeCell ref="G35:G36"/>
    <mergeCell ref="H35:H36"/>
    <mergeCell ref="F67:F70"/>
    <mergeCell ref="F156:F162"/>
    <mergeCell ref="F163:F173"/>
    <mergeCell ref="F180:F185"/>
    <mergeCell ref="F186:F191"/>
    <mergeCell ref="F192:F202"/>
    <mergeCell ref="F204:F207"/>
    <mergeCell ref="F208:F209"/>
    <mergeCell ref="F252:F269"/>
    <mergeCell ref="F210:F215"/>
    <mergeCell ref="F216:F223"/>
    <mergeCell ref="F224:F235"/>
    <mergeCell ref="F236:F242"/>
    <mergeCell ref="F243:F251"/>
  </mergeCells>
  <conditionalFormatting sqref="B2:B627">
    <cfRule type="cellIs" dxfId="889" priority="1198" operator="equal">
      <formula>1</formula>
    </cfRule>
    <cfRule type="cellIs" dxfId="888" priority="1197" operator="equal">
      <formula>2</formula>
    </cfRule>
    <cfRule type="cellIs" dxfId="887" priority="1196" operator="equal">
      <formula>3</formula>
    </cfRule>
    <cfRule type="cellIs" dxfId="886" priority="1195" operator="equal">
      <formula>4</formula>
    </cfRule>
    <cfRule type="cellIs" dxfId="885" priority="1200" operator="equal">
      <formula>0</formula>
    </cfRule>
  </conditionalFormatting>
  <conditionalFormatting sqref="C2:C627">
    <cfRule type="cellIs" dxfId="884" priority="1199" operator="between">
      <formula>9</formula>
      <formula>13</formula>
    </cfRule>
    <cfRule type="cellIs" dxfId="883" priority="1184" operator="between">
      <formula>14</formula>
      <formula>15</formula>
    </cfRule>
    <cfRule type="cellIs" dxfId="882" priority="1183" operator="between">
      <formula>16</formula>
      <formula>18</formula>
    </cfRule>
    <cfRule type="cellIs" dxfId="881" priority="1182" operator="between">
      <formula>19</formula>
      <formula>20</formula>
    </cfRule>
    <cfRule type="cellIs" dxfId="880" priority="1181" operator="between">
      <formula>21</formula>
      <formula>25</formula>
    </cfRule>
  </conditionalFormatting>
  <conditionalFormatting sqref="D2:D627">
    <cfRule type="cellIs" dxfId="879" priority="1175" operator="equal">
      <formula>1</formula>
    </cfRule>
    <cfRule type="cellIs" dxfId="878" priority="1174" operator="equal">
      <formula>2</formula>
    </cfRule>
    <cfRule type="cellIs" dxfId="877" priority="1173" operator="equal">
      <formula>3</formula>
    </cfRule>
    <cfRule type="cellIs" dxfId="876" priority="1172" operator="equal">
      <formula>4</formula>
    </cfRule>
    <cfRule type="cellIs" dxfId="875" priority="1171" operator="equal">
      <formula>5</formula>
    </cfRule>
  </conditionalFormatting>
  <conditionalFormatting sqref="E29">
    <cfRule type="cellIs" dxfId="874" priority="1099" operator="equal">
      <formula>2</formula>
    </cfRule>
    <cfRule type="cellIs" dxfId="873" priority="1098" operator="equal">
      <formula>3</formula>
    </cfRule>
    <cfRule type="cellIs" dxfId="872" priority="1097" operator="equal">
      <formula>4</formula>
    </cfRule>
    <cfRule type="cellIs" dxfId="871" priority="1096" operator="equal">
      <formula>5</formula>
    </cfRule>
    <cfRule type="cellIs" dxfId="870" priority="1100" operator="equal">
      <formula>1</formula>
    </cfRule>
  </conditionalFormatting>
  <conditionalFormatting sqref="G2">
    <cfRule type="cellIs" dxfId="869" priority="1150" operator="equal">
      <formula>1</formula>
    </cfRule>
    <cfRule type="cellIs" dxfId="868" priority="1149" operator="equal">
      <formula>2</formula>
    </cfRule>
    <cfRule type="cellIs" dxfId="867" priority="1148" operator="equal">
      <formula>3</formula>
    </cfRule>
    <cfRule type="cellIs" dxfId="866" priority="1146" operator="equal">
      <formula>5</formula>
    </cfRule>
    <cfRule type="cellIs" dxfId="865" priority="1147" operator="equal">
      <formula>4</formula>
    </cfRule>
  </conditionalFormatting>
  <conditionalFormatting sqref="G4">
    <cfRule type="cellIs" dxfId="864" priority="94" operator="equal">
      <formula>2</formula>
    </cfRule>
    <cfRule type="cellIs" dxfId="863" priority="95" operator="equal">
      <formula>1</formula>
    </cfRule>
    <cfRule type="cellIs" dxfId="862" priority="93" operator="equal">
      <formula>3</formula>
    </cfRule>
    <cfRule type="cellIs" dxfId="861" priority="91" operator="equal">
      <formula>5</formula>
    </cfRule>
    <cfRule type="cellIs" dxfId="860" priority="92" operator="equal">
      <formula>4</formula>
    </cfRule>
  </conditionalFormatting>
  <conditionalFormatting sqref="G6:G7">
    <cfRule type="cellIs" dxfId="859" priority="86" operator="equal">
      <formula>5</formula>
    </cfRule>
    <cfRule type="cellIs" dxfId="858" priority="87" operator="equal">
      <formula>4</formula>
    </cfRule>
    <cfRule type="cellIs" dxfId="857" priority="90" operator="equal">
      <formula>1</formula>
    </cfRule>
    <cfRule type="cellIs" dxfId="856" priority="89" operator="equal">
      <formula>2</formula>
    </cfRule>
    <cfRule type="cellIs" dxfId="855" priority="88" operator="equal">
      <formula>3</formula>
    </cfRule>
  </conditionalFormatting>
  <conditionalFormatting sqref="G10">
    <cfRule type="cellIs" dxfId="854" priority="81" operator="equal">
      <formula>5</formula>
    </cfRule>
    <cfRule type="cellIs" dxfId="853" priority="82" operator="equal">
      <formula>4</formula>
    </cfRule>
    <cfRule type="cellIs" dxfId="852" priority="83" operator="equal">
      <formula>3</formula>
    </cfRule>
    <cfRule type="cellIs" dxfId="851" priority="85" operator="equal">
      <formula>1</formula>
    </cfRule>
    <cfRule type="cellIs" dxfId="850" priority="84" operator="equal">
      <formula>2</formula>
    </cfRule>
  </conditionalFormatting>
  <conditionalFormatting sqref="G16 G18 G20 G22">
    <cfRule type="cellIs" dxfId="849" priority="1105" operator="equal">
      <formula>1</formula>
    </cfRule>
    <cfRule type="cellIs" dxfId="848" priority="1104" operator="equal">
      <formula>2</formula>
    </cfRule>
    <cfRule type="cellIs" dxfId="847" priority="1102" operator="equal">
      <formula>4</formula>
    </cfRule>
    <cfRule type="cellIs" dxfId="846" priority="1101" operator="equal">
      <formula>5</formula>
    </cfRule>
    <cfRule type="cellIs" dxfId="845" priority="1103" operator="equal">
      <formula>3</formula>
    </cfRule>
  </conditionalFormatting>
  <conditionalFormatting sqref="G26">
    <cfRule type="cellIs" dxfId="844" priority="1095" operator="equal">
      <formula>1</formula>
    </cfRule>
    <cfRule type="cellIs" dxfId="843" priority="1091" operator="equal">
      <formula>5</formula>
    </cfRule>
    <cfRule type="cellIs" dxfId="842" priority="1092" operator="equal">
      <formula>4</formula>
    </cfRule>
    <cfRule type="cellIs" dxfId="841" priority="1093" operator="equal">
      <formula>3</formula>
    </cfRule>
    <cfRule type="cellIs" dxfId="840" priority="1094" operator="equal">
      <formula>2</formula>
    </cfRule>
  </conditionalFormatting>
  <conditionalFormatting sqref="G28">
    <cfRule type="cellIs" dxfId="839" priority="1090" operator="equal">
      <formula>1</formula>
    </cfRule>
    <cfRule type="cellIs" dxfId="838" priority="1088" operator="equal">
      <formula>3</formula>
    </cfRule>
    <cfRule type="cellIs" dxfId="837" priority="1086" operator="equal">
      <formula>5</formula>
    </cfRule>
    <cfRule type="cellIs" dxfId="836" priority="1087" operator="equal">
      <formula>4</formula>
    </cfRule>
    <cfRule type="cellIs" dxfId="835" priority="1089" operator="equal">
      <formula>2</formula>
    </cfRule>
  </conditionalFormatting>
  <conditionalFormatting sqref="G31:G32">
    <cfRule type="cellIs" dxfId="834" priority="1076" operator="equal">
      <formula>5</formula>
    </cfRule>
    <cfRule type="cellIs" dxfId="833" priority="1077" operator="equal">
      <formula>4</formula>
    </cfRule>
    <cfRule type="cellIs" dxfId="832" priority="1078" operator="equal">
      <formula>3</formula>
    </cfRule>
    <cfRule type="cellIs" dxfId="831" priority="1079" operator="equal">
      <formula>2</formula>
    </cfRule>
    <cfRule type="cellIs" dxfId="830" priority="1080" operator="equal">
      <formula>1</formula>
    </cfRule>
  </conditionalFormatting>
  <conditionalFormatting sqref="G35">
    <cfRule type="cellIs" dxfId="829" priority="1075" operator="equal">
      <formula>1</formula>
    </cfRule>
    <cfRule type="cellIs" dxfId="828" priority="1072" operator="equal">
      <formula>4</formula>
    </cfRule>
    <cfRule type="cellIs" dxfId="827" priority="1073" operator="equal">
      <formula>3</formula>
    </cfRule>
    <cfRule type="cellIs" dxfId="826" priority="1074" operator="equal">
      <formula>2</formula>
    </cfRule>
    <cfRule type="cellIs" dxfId="825" priority="1071" operator="equal">
      <formula>5</formula>
    </cfRule>
  </conditionalFormatting>
  <conditionalFormatting sqref="G38:G39">
    <cfRule type="cellIs" dxfId="824" priority="1065" operator="equal">
      <formula>1</formula>
    </cfRule>
    <cfRule type="cellIs" dxfId="823" priority="1064" operator="equal">
      <formula>2</formula>
    </cfRule>
    <cfRule type="cellIs" dxfId="822" priority="1062" operator="equal">
      <formula>4</formula>
    </cfRule>
    <cfRule type="cellIs" dxfId="821" priority="1061" operator="equal">
      <formula>5</formula>
    </cfRule>
    <cfRule type="cellIs" dxfId="820" priority="1063" operator="equal">
      <formula>3</formula>
    </cfRule>
  </conditionalFormatting>
  <conditionalFormatting sqref="G42">
    <cfRule type="cellIs" dxfId="819" priority="1060" operator="equal">
      <formula>1</formula>
    </cfRule>
    <cfRule type="cellIs" dxfId="818" priority="1059" operator="equal">
      <formula>2</formula>
    </cfRule>
    <cfRule type="cellIs" dxfId="817" priority="1058" operator="equal">
      <formula>3</formula>
    </cfRule>
    <cfRule type="cellIs" dxfId="816" priority="1057" operator="equal">
      <formula>4</formula>
    </cfRule>
    <cfRule type="cellIs" dxfId="815" priority="1056" operator="equal">
      <formula>5</formula>
    </cfRule>
  </conditionalFormatting>
  <conditionalFormatting sqref="G45">
    <cfRule type="cellIs" dxfId="814" priority="1052" operator="equal">
      <formula>4</formula>
    </cfRule>
    <cfRule type="cellIs" dxfId="813" priority="1053" operator="equal">
      <formula>3</formula>
    </cfRule>
    <cfRule type="cellIs" dxfId="812" priority="1054" operator="equal">
      <formula>2</formula>
    </cfRule>
    <cfRule type="cellIs" dxfId="811" priority="1051" operator="equal">
      <formula>5</formula>
    </cfRule>
    <cfRule type="cellIs" dxfId="810" priority="1055" operator="equal">
      <formula>1</formula>
    </cfRule>
  </conditionalFormatting>
  <conditionalFormatting sqref="G48">
    <cfRule type="cellIs" dxfId="809" priority="1046" operator="equal">
      <formula>5</formula>
    </cfRule>
    <cfRule type="cellIs" dxfId="808" priority="1049" operator="equal">
      <formula>2</formula>
    </cfRule>
    <cfRule type="cellIs" dxfId="807" priority="1050" operator="equal">
      <formula>1</formula>
    </cfRule>
    <cfRule type="cellIs" dxfId="806" priority="1047" operator="equal">
      <formula>4</formula>
    </cfRule>
    <cfRule type="cellIs" dxfId="805" priority="1048" operator="equal">
      <formula>3</formula>
    </cfRule>
  </conditionalFormatting>
  <conditionalFormatting sqref="G53">
    <cfRule type="cellIs" dxfId="804" priority="1044" operator="equal">
      <formula>2</formula>
    </cfRule>
    <cfRule type="cellIs" dxfId="803" priority="1043" operator="equal">
      <formula>3</formula>
    </cfRule>
    <cfRule type="cellIs" dxfId="802" priority="1042" operator="equal">
      <formula>4</formula>
    </cfRule>
    <cfRule type="cellIs" dxfId="801" priority="1041" operator="equal">
      <formula>5</formula>
    </cfRule>
    <cfRule type="cellIs" dxfId="800" priority="1045" operator="equal">
      <formula>1</formula>
    </cfRule>
  </conditionalFormatting>
  <conditionalFormatting sqref="G56">
    <cfRule type="cellIs" dxfId="799" priority="1040" operator="equal">
      <formula>1</formula>
    </cfRule>
    <cfRule type="cellIs" dxfId="798" priority="1039" operator="equal">
      <formula>2</formula>
    </cfRule>
    <cfRule type="cellIs" dxfId="797" priority="1038" operator="equal">
      <formula>3</formula>
    </cfRule>
    <cfRule type="cellIs" dxfId="796" priority="1036" operator="equal">
      <formula>5</formula>
    </cfRule>
    <cfRule type="cellIs" dxfId="795" priority="1037" operator="equal">
      <formula>4</formula>
    </cfRule>
  </conditionalFormatting>
  <conditionalFormatting sqref="G59">
    <cfRule type="cellIs" dxfId="794" priority="1031" operator="equal">
      <formula>5</formula>
    </cfRule>
    <cfRule type="cellIs" dxfId="793" priority="1032" operator="equal">
      <formula>4</formula>
    </cfRule>
    <cfRule type="cellIs" dxfId="792" priority="1033" operator="equal">
      <formula>3</formula>
    </cfRule>
    <cfRule type="cellIs" dxfId="791" priority="1034" operator="equal">
      <formula>2</formula>
    </cfRule>
    <cfRule type="cellIs" dxfId="790" priority="1035" operator="equal">
      <formula>1</formula>
    </cfRule>
  </conditionalFormatting>
  <conditionalFormatting sqref="G62">
    <cfRule type="cellIs" dxfId="789" priority="1027" operator="equal">
      <formula>4</formula>
    </cfRule>
    <cfRule type="cellIs" dxfId="788" priority="1029" operator="equal">
      <formula>2</formula>
    </cfRule>
    <cfRule type="cellIs" dxfId="787" priority="1026" operator="equal">
      <formula>5</formula>
    </cfRule>
    <cfRule type="cellIs" dxfId="786" priority="1030" operator="equal">
      <formula>1</formula>
    </cfRule>
    <cfRule type="cellIs" dxfId="785" priority="1028" operator="equal">
      <formula>3</formula>
    </cfRule>
  </conditionalFormatting>
  <conditionalFormatting sqref="G65">
    <cfRule type="cellIs" dxfId="784" priority="1025" operator="equal">
      <formula>1</formula>
    </cfRule>
    <cfRule type="cellIs" dxfId="783" priority="1024" operator="equal">
      <formula>2</formula>
    </cfRule>
    <cfRule type="cellIs" dxfId="782" priority="1023" operator="equal">
      <formula>3</formula>
    </cfRule>
    <cfRule type="cellIs" dxfId="781" priority="1022" operator="equal">
      <formula>4</formula>
    </cfRule>
    <cfRule type="cellIs" dxfId="780" priority="1021" operator="equal">
      <formula>5</formula>
    </cfRule>
  </conditionalFormatting>
  <conditionalFormatting sqref="G68:G69">
    <cfRule type="cellIs" dxfId="779" priority="1015" operator="equal">
      <formula>1</formula>
    </cfRule>
    <cfRule type="cellIs" dxfId="778" priority="1014" operator="equal">
      <formula>2</formula>
    </cfRule>
    <cfRule type="cellIs" dxfId="777" priority="1013" operator="equal">
      <formula>3</formula>
    </cfRule>
    <cfRule type="cellIs" dxfId="776" priority="1012" operator="equal">
      <formula>4</formula>
    </cfRule>
    <cfRule type="cellIs" dxfId="775" priority="1011" operator="equal">
      <formula>5</formula>
    </cfRule>
  </conditionalFormatting>
  <conditionalFormatting sqref="G71">
    <cfRule type="cellIs" dxfId="774" priority="1008" operator="equal">
      <formula>3</formula>
    </cfRule>
    <cfRule type="cellIs" dxfId="773" priority="1010" operator="equal">
      <formula>1</formula>
    </cfRule>
    <cfRule type="cellIs" dxfId="772" priority="1007" operator="equal">
      <formula>4</formula>
    </cfRule>
    <cfRule type="cellIs" dxfId="771" priority="1006" operator="equal">
      <formula>5</formula>
    </cfRule>
    <cfRule type="cellIs" dxfId="770" priority="1009" operator="equal">
      <formula>2</formula>
    </cfRule>
  </conditionalFormatting>
  <conditionalFormatting sqref="G73:G75">
    <cfRule type="cellIs" dxfId="769" priority="992" operator="equal">
      <formula>4</formula>
    </cfRule>
    <cfRule type="cellIs" dxfId="768" priority="995" operator="equal">
      <formula>1</formula>
    </cfRule>
    <cfRule type="cellIs" dxfId="767" priority="993" operator="equal">
      <formula>3</formula>
    </cfRule>
    <cfRule type="cellIs" dxfId="766" priority="991" operator="equal">
      <formula>5</formula>
    </cfRule>
    <cfRule type="cellIs" dxfId="765" priority="994" operator="equal">
      <formula>2</formula>
    </cfRule>
  </conditionalFormatting>
  <conditionalFormatting sqref="G79">
    <cfRule type="cellIs" dxfId="764" priority="990" operator="equal">
      <formula>1</formula>
    </cfRule>
    <cfRule type="cellIs" dxfId="763" priority="989" operator="equal">
      <formula>2</formula>
    </cfRule>
    <cfRule type="cellIs" dxfId="762" priority="988" operator="equal">
      <formula>3</formula>
    </cfRule>
    <cfRule type="cellIs" dxfId="761" priority="987" operator="equal">
      <formula>4</formula>
    </cfRule>
    <cfRule type="cellIs" dxfId="760" priority="986" operator="equal">
      <formula>5</formula>
    </cfRule>
  </conditionalFormatting>
  <conditionalFormatting sqref="G81">
    <cfRule type="cellIs" dxfId="759" priority="981" operator="equal">
      <formula>5</formula>
    </cfRule>
    <cfRule type="cellIs" dxfId="758" priority="982" operator="equal">
      <formula>4</formula>
    </cfRule>
    <cfRule type="cellIs" dxfId="757" priority="984" operator="equal">
      <formula>2</formula>
    </cfRule>
    <cfRule type="cellIs" dxfId="756" priority="983" operator="equal">
      <formula>3</formula>
    </cfRule>
    <cfRule type="cellIs" dxfId="755" priority="985" operator="equal">
      <formula>1</formula>
    </cfRule>
  </conditionalFormatting>
  <conditionalFormatting sqref="G83">
    <cfRule type="cellIs" dxfId="754" priority="980" operator="equal">
      <formula>1</formula>
    </cfRule>
    <cfRule type="cellIs" dxfId="753" priority="976" operator="equal">
      <formula>5</formula>
    </cfRule>
    <cfRule type="cellIs" dxfId="752" priority="977" operator="equal">
      <formula>4</formula>
    </cfRule>
    <cfRule type="cellIs" dxfId="751" priority="978" operator="equal">
      <formula>3</formula>
    </cfRule>
    <cfRule type="cellIs" dxfId="750" priority="979" operator="equal">
      <formula>2</formula>
    </cfRule>
  </conditionalFormatting>
  <conditionalFormatting sqref="G85">
    <cfRule type="cellIs" dxfId="749" priority="975" operator="equal">
      <formula>1</formula>
    </cfRule>
    <cfRule type="cellIs" dxfId="748" priority="974" operator="equal">
      <formula>2</formula>
    </cfRule>
    <cfRule type="cellIs" dxfId="747" priority="973" operator="equal">
      <formula>3</formula>
    </cfRule>
    <cfRule type="cellIs" dxfId="746" priority="972" operator="equal">
      <formula>4</formula>
    </cfRule>
    <cfRule type="cellIs" dxfId="745" priority="971" operator="equal">
      <formula>5</formula>
    </cfRule>
  </conditionalFormatting>
  <conditionalFormatting sqref="G87">
    <cfRule type="cellIs" dxfId="744" priority="970" operator="equal">
      <formula>1</formula>
    </cfRule>
    <cfRule type="cellIs" dxfId="743" priority="969" operator="equal">
      <formula>2</formula>
    </cfRule>
    <cfRule type="cellIs" dxfId="742" priority="967" operator="equal">
      <formula>4</formula>
    </cfRule>
    <cfRule type="cellIs" dxfId="741" priority="966" operator="equal">
      <formula>5</formula>
    </cfRule>
    <cfRule type="cellIs" dxfId="740" priority="968" operator="equal">
      <formula>3</formula>
    </cfRule>
  </conditionalFormatting>
  <conditionalFormatting sqref="G90:G93">
    <cfRule type="cellIs" dxfId="739" priority="950" operator="equal">
      <formula>1</formula>
    </cfRule>
    <cfRule type="cellIs" dxfId="738" priority="949" operator="equal">
      <formula>2</formula>
    </cfRule>
    <cfRule type="cellIs" dxfId="737" priority="948" operator="equal">
      <formula>3</formula>
    </cfRule>
    <cfRule type="cellIs" dxfId="736" priority="947" operator="equal">
      <formula>4</formula>
    </cfRule>
    <cfRule type="cellIs" dxfId="735" priority="946" operator="equal">
      <formula>5</formula>
    </cfRule>
  </conditionalFormatting>
  <conditionalFormatting sqref="G95">
    <cfRule type="cellIs" dxfId="734" priority="945" operator="equal">
      <formula>1</formula>
    </cfRule>
    <cfRule type="cellIs" dxfId="733" priority="944" operator="equal">
      <formula>2</formula>
    </cfRule>
    <cfRule type="cellIs" dxfId="732" priority="943" operator="equal">
      <formula>3</formula>
    </cfRule>
    <cfRule type="cellIs" dxfId="731" priority="942" operator="equal">
      <formula>4</formula>
    </cfRule>
    <cfRule type="cellIs" dxfId="730" priority="941" operator="equal">
      <formula>5</formula>
    </cfRule>
  </conditionalFormatting>
  <conditionalFormatting sqref="G99">
    <cfRule type="cellIs" dxfId="729" priority="940" operator="equal">
      <formula>1</formula>
    </cfRule>
    <cfRule type="cellIs" dxfId="728" priority="936" operator="equal">
      <formula>5</formula>
    </cfRule>
    <cfRule type="cellIs" dxfId="727" priority="937" operator="equal">
      <formula>4</formula>
    </cfRule>
    <cfRule type="cellIs" dxfId="726" priority="938" operator="equal">
      <formula>3</formula>
    </cfRule>
    <cfRule type="cellIs" dxfId="725" priority="939" operator="equal">
      <formula>2</formula>
    </cfRule>
  </conditionalFormatting>
  <conditionalFormatting sqref="G102">
    <cfRule type="cellIs" dxfId="724" priority="931" operator="equal">
      <formula>5</formula>
    </cfRule>
    <cfRule type="cellIs" dxfId="723" priority="932" operator="equal">
      <formula>4</formula>
    </cfRule>
    <cfRule type="cellIs" dxfId="722" priority="933" operator="equal">
      <formula>3</formula>
    </cfRule>
    <cfRule type="cellIs" dxfId="721" priority="934" operator="equal">
      <formula>2</formula>
    </cfRule>
    <cfRule type="cellIs" dxfId="720" priority="935" operator="equal">
      <formula>1</formula>
    </cfRule>
  </conditionalFormatting>
  <conditionalFormatting sqref="G105">
    <cfRule type="cellIs" dxfId="719" priority="929" operator="equal">
      <formula>2</formula>
    </cfRule>
    <cfRule type="cellIs" dxfId="718" priority="928" operator="equal">
      <formula>3</formula>
    </cfRule>
    <cfRule type="cellIs" dxfId="717" priority="927" operator="equal">
      <formula>4</formula>
    </cfRule>
    <cfRule type="cellIs" dxfId="716" priority="926" operator="equal">
      <formula>5</formula>
    </cfRule>
    <cfRule type="cellIs" dxfId="715" priority="930" operator="equal">
      <formula>1</formula>
    </cfRule>
  </conditionalFormatting>
  <conditionalFormatting sqref="G108">
    <cfRule type="cellIs" dxfId="714" priority="925" operator="equal">
      <formula>1</formula>
    </cfRule>
    <cfRule type="cellIs" dxfId="713" priority="924" operator="equal">
      <formula>2</formula>
    </cfRule>
    <cfRule type="cellIs" dxfId="712" priority="923" operator="equal">
      <formula>3</formula>
    </cfRule>
    <cfRule type="cellIs" dxfId="711" priority="922" operator="equal">
      <formula>4</formula>
    </cfRule>
    <cfRule type="cellIs" dxfId="710" priority="921" operator="equal">
      <formula>5</formula>
    </cfRule>
  </conditionalFormatting>
  <conditionalFormatting sqref="G111">
    <cfRule type="cellIs" dxfId="709" priority="919" operator="equal">
      <formula>2</formula>
    </cfRule>
    <cfRule type="cellIs" dxfId="708" priority="917" operator="equal">
      <formula>4</formula>
    </cfRule>
    <cfRule type="cellIs" dxfId="707" priority="918" operator="equal">
      <formula>3</formula>
    </cfRule>
    <cfRule type="cellIs" dxfId="706" priority="920" operator="equal">
      <formula>1</formula>
    </cfRule>
    <cfRule type="cellIs" dxfId="705" priority="916" operator="equal">
      <formula>5</formula>
    </cfRule>
  </conditionalFormatting>
  <conditionalFormatting sqref="G114">
    <cfRule type="cellIs" dxfId="704" priority="913" operator="equal">
      <formula>3</formula>
    </cfRule>
    <cfRule type="cellIs" dxfId="703" priority="912" operator="equal">
      <formula>4</formula>
    </cfRule>
    <cfRule type="cellIs" dxfId="702" priority="911" operator="equal">
      <formula>5</formula>
    </cfRule>
    <cfRule type="cellIs" dxfId="701" priority="914" operator="equal">
      <formula>2</formula>
    </cfRule>
    <cfRule type="cellIs" dxfId="700" priority="915" operator="equal">
      <formula>1</formula>
    </cfRule>
  </conditionalFormatting>
  <conditionalFormatting sqref="G116:G120">
    <cfRule type="cellIs" dxfId="699" priority="905" operator="equal">
      <formula>1</formula>
    </cfRule>
    <cfRule type="cellIs" dxfId="698" priority="904" operator="equal">
      <formula>2</formula>
    </cfRule>
    <cfRule type="cellIs" dxfId="697" priority="903" operator="equal">
      <formula>3</formula>
    </cfRule>
    <cfRule type="cellIs" dxfId="696" priority="902" operator="equal">
      <formula>4</formula>
    </cfRule>
    <cfRule type="cellIs" dxfId="695" priority="901" operator="equal">
      <formula>5</formula>
    </cfRule>
  </conditionalFormatting>
  <conditionalFormatting sqref="G130">
    <cfRule type="cellIs" dxfId="694" priority="900" operator="equal">
      <formula>1</formula>
    </cfRule>
    <cfRule type="cellIs" dxfId="693" priority="899" operator="equal">
      <formula>2</formula>
    </cfRule>
    <cfRule type="cellIs" dxfId="692" priority="898" operator="equal">
      <formula>3</formula>
    </cfRule>
    <cfRule type="cellIs" dxfId="691" priority="897" operator="equal">
      <formula>4</formula>
    </cfRule>
    <cfRule type="cellIs" dxfId="690" priority="896" operator="equal">
      <formula>5</formula>
    </cfRule>
  </conditionalFormatting>
  <conditionalFormatting sqref="G134">
    <cfRule type="cellIs" dxfId="689" priority="895" operator="equal">
      <formula>1</formula>
    </cfRule>
    <cfRule type="cellIs" dxfId="688" priority="894" operator="equal">
      <formula>2</formula>
    </cfRule>
    <cfRule type="cellIs" dxfId="687" priority="893" operator="equal">
      <formula>3</formula>
    </cfRule>
    <cfRule type="cellIs" dxfId="686" priority="892" operator="equal">
      <formula>4</formula>
    </cfRule>
    <cfRule type="cellIs" dxfId="685" priority="891" operator="equal">
      <formula>5</formula>
    </cfRule>
  </conditionalFormatting>
  <conditionalFormatting sqref="G138">
    <cfRule type="cellIs" dxfId="684" priority="890" operator="equal">
      <formula>1</formula>
    </cfRule>
    <cfRule type="cellIs" dxfId="683" priority="889" operator="equal">
      <formula>2</formula>
    </cfRule>
    <cfRule type="cellIs" dxfId="682" priority="888" operator="equal">
      <formula>3</formula>
    </cfRule>
    <cfRule type="cellIs" dxfId="681" priority="887" operator="equal">
      <formula>4</formula>
    </cfRule>
    <cfRule type="cellIs" dxfId="680" priority="886" operator="equal">
      <formula>5</formula>
    </cfRule>
  </conditionalFormatting>
  <conditionalFormatting sqref="G142">
    <cfRule type="cellIs" dxfId="679" priority="885" operator="equal">
      <formula>1</formula>
    </cfRule>
    <cfRule type="cellIs" dxfId="678" priority="883" operator="equal">
      <formula>3</formula>
    </cfRule>
    <cfRule type="cellIs" dxfId="677" priority="882" operator="equal">
      <formula>4</formula>
    </cfRule>
    <cfRule type="cellIs" dxfId="676" priority="881" operator="equal">
      <formula>5</formula>
    </cfRule>
    <cfRule type="cellIs" dxfId="675" priority="884" operator="equal">
      <formula>2</formula>
    </cfRule>
  </conditionalFormatting>
  <conditionalFormatting sqref="G146">
    <cfRule type="cellIs" dxfId="674" priority="879" operator="equal">
      <formula>2</formula>
    </cfRule>
    <cfRule type="cellIs" dxfId="673" priority="878" operator="equal">
      <formula>3</formula>
    </cfRule>
    <cfRule type="cellIs" dxfId="672" priority="877" operator="equal">
      <formula>4</formula>
    </cfRule>
    <cfRule type="cellIs" dxfId="671" priority="876" operator="equal">
      <formula>5</formula>
    </cfRule>
    <cfRule type="cellIs" dxfId="670" priority="880" operator="equal">
      <formula>1</formula>
    </cfRule>
  </conditionalFormatting>
  <conditionalFormatting sqref="G157:G161">
    <cfRule type="cellIs" dxfId="669" priority="870" operator="equal">
      <formula>1</formula>
    </cfRule>
    <cfRule type="cellIs" dxfId="668" priority="869" operator="equal">
      <formula>2</formula>
    </cfRule>
    <cfRule type="cellIs" dxfId="667" priority="868" operator="equal">
      <formula>3</formula>
    </cfRule>
    <cfRule type="cellIs" dxfId="666" priority="867" operator="equal">
      <formula>4</formula>
    </cfRule>
    <cfRule type="cellIs" dxfId="665" priority="866" operator="equal">
      <formula>5</formula>
    </cfRule>
  </conditionalFormatting>
  <conditionalFormatting sqref="G163">
    <cfRule type="cellIs" dxfId="664" priority="865" operator="equal">
      <formula>1</formula>
    </cfRule>
    <cfRule type="cellIs" dxfId="663" priority="862" operator="equal">
      <formula>4</formula>
    </cfRule>
    <cfRule type="cellIs" dxfId="662" priority="861" operator="equal">
      <formula>5</formula>
    </cfRule>
    <cfRule type="cellIs" dxfId="661" priority="864" operator="equal">
      <formula>2</formula>
    </cfRule>
    <cfRule type="cellIs" dxfId="660" priority="863" operator="equal">
      <formula>3</formula>
    </cfRule>
  </conditionalFormatting>
  <conditionalFormatting sqref="G165">
    <cfRule type="cellIs" dxfId="659" priority="859" operator="equal">
      <formula>2</formula>
    </cfRule>
    <cfRule type="cellIs" dxfId="658" priority="860" operator="equal">
      <formula>1</formula>
    </cfRule>
    <cfRule type="cellIs" dxfId="657" priority="858" operator="equal">
      <formula>3</formula>
    </cfRule>
    <cfRule type="cellIs" dxfId="656" priority="857" operator="equal">
      <formula>4</formula>
    </cfRule>
    <cfRule type="cellIs" dxfId="655" priority="856" operator="equal">
      <formula>5</formula>
    </cfRule>
  </conditionalFormatting>
  <conditionalFormatting sqref="G167">
    <cfRule type="cellIs" dxfId="654" priority="851" operator="equal">
      <formula>5</formula>
    </cfRule>
    <cfRule type="cellIs" dxfId="653" priority="852" operator="equal">
      <formula>4</formula>
    </cfRule>
    <cfRule type="cellIs" dxfId="652" priority="853" operator="equal">
      <formula>3</formula>
    </cfRule>
    <cfRule type="cellIs" dxfId="651" priority="854" operator="equal">
      <formula>2</formula>
    </cfRule>
    <cfRule type="cellIs" dxfId="650" priority="855" operator="equal">
      <formula>1</formula>
    </cfRule>
  </conditionalFormatting>
  <conditionalFormatting sqref="G169">
    <cfRule type="cellIs" dxfId="649" priority="849" operator="equal">
      <formula>2</formula>
    </cfRule>
    <cfRule type="cellIs" dxfId="648" priority="850" operator="equal">
      <formula>1</formula>
    </cfRule>
    <cfRule type="cellIs" dxfId="647" priority="847" operator="equal">
      <formula>4</formula>
    </cfRule>
    <cfRule type="cellIs" dxfId="646" priority="846" operator="equal">
      <formula>5</formula>
    </cfRule>
    <cfRule type="cellIs" dxfId="645" priority="848" operator="equal">
      <formula>3</formula>
    </cfRule>
  </conditionalFormatting>
  <conditionalFormatting sqref="G171">
    <cfRule type="cellIs" dxfId="644" priority="845" operator="equal">
      <formula>1</formula>
    </cfRule>
    <cfRule type="cellIs" dxfId="643" priority="844" operator="equal">
      <formula>2</formula>
    </cfRule>
    <cfRule type="cellIs" dxfId="642" priority="843" operator="equal">
      <formula>3</formula>
    </cfRule>
    <cfRule type="cellIs" dxfId="641" priority="842" operator="equal">
      <formula>4</formula>
    </cfRule>
    <cfRule type="cellIs" dxfId="640" priority="841" operator="equal">
      <formula>5</formula>
    </cfRule>
  </conditionalFormatting>
  <conditionalFormatting sqref="G175:G178">
    <cfRule type="cellIs" dxfId="639" priority="830" operator="equal">
      <formula>1</formula>
    </cfRule>
    <cfRule type="cellIs" dxfId="638" priority="829" operator="equal">
      <formula>2</formula>
    </cfRule>
    <cfRule type="cellIs" dxfId="637" priority="828" operator="equal">
      <formula>3</formula>
    </cfRule>
    <cfRule type="cellIs" dxfId="636" priority="826" operator="equal">
      <formula>5</formula>
    </cfRule>
    <cfRule type="cellIs" dxfId="635" priority="827" operator="equal">
      <formula>4</formula>
    </cfRule>
  </conditionalFormatting>
  <conditionalFormatting sqref="G181:G184">
    <cfRule type="cellIs" dxfId="634" priority="790" operator="equal">
      <formula>1</formula>
    </cfRule>
    <cfRule type="cellIs" dxfId="633" priority="789" operator="equal">
      <formula>2</formula>
    </cfRule>
    <cfRule type="cellIs" dxfId="632" priority="788" operator="equal">
      <formula>3</formula>
    </cfRule>
    <cfRule type="cellIs" dxfId="631" priority="787" operator="equal">
      <formula>4</formula>
    </cfRule>
    <cfRule type="cellIs" dxfId="630" priority="786" operator="equal">
      <formula>5</formula>
    </cfRule>
  </conditionalFormatting>
  <conditionalFormatting sqref="G187:G189">
    <cfRule type="cellIs" dxfId="629" priority="785" operator="equal">
      <formula>1</formula>
    </cfRule>
    <cfRule type="cellIs" dxfId="628" priority="784" operator="equal">
      <formula>2</formula>
    </cfRule>
    <cfRule type="cellIs" dxfId="627" priority="783" operator="equal">
      <formula>3</formula>
    </cfRule>
    <cfRule type="cellIs" dxfId="626" priority="782" operator="equal">
      <formula>4</formula>
    </cfRule>
    <cfRule type="cellIs" dxfId="625" priority="781" operator="equal">
      <formula>5</formula>
    </cfRule>
  </conditionalFormatting>
  <conditionalFormatting sqref="G193">
    <cfRule type="cellIs" dxfId="624" priority="780" operator="equal">
      <formula>1</formula>
    </cfRule>
    <cfRule type="cellIs" dxfId="623" priority="779" operator="equal">
      <formula>2</formula>
    </cfRule>
    <cfRule type="cellIs" dxfId="622" priority="778" operator="equal">
      <formula>3</formula>
    </cfRule>
    <cfRule type="cellIs" dxfId="621" priority="776" operator="equal">
      <formula>5</formula>
    </cfRule>
    <cfRule type="cellIs" dxfId="620" priority="777" operator="equal">
      <formula>4</formula>
    </cfRule>
  </conditionalFormatting>
  <conditionalFormatting sqref="G195">
    <cfRule type="cellIs" dxfId="619" priority="773" operator="equal">
      <formula>3</formula>
    </cfRule>
    <cfRule type="cellIs" dxfId="618" priority="771" operator="equal">
      <formula>5</formula>
    </cfRule>
    <cfRule type="cellIs" dxfId="617" priority="772" operator="equal">
      <formula>4</formula>
    </cfRule>
    <cfRule type="cellIs" dxfId="616" priority="774" operator="equal">
      <formula>2</formula>
    </cfRule>
    <cfRule type="cellIs" dxfId="615" priority="775" operator="equal">
      <formula>1</formula>
    </cfRule>
  </conditionalFormatting>
  <conditionalFormatting sqref="G197">
    <cfRule type="cellIs" dxfId="614" priority="767" operator="equal">
      <formula>4</formula>
    </cfRule>
    <cfRule type="cellIs" dxfId="613" priority="766" operator="equal">
      <formula>5</formula>
    </cfRule>
    <cfRule type="cellIs" dxfId="612" priority="769" operator="equal">
      <formula>2</formula>
    </cfRule>
    <cfRule type="cellIs" dxfId="611" priority="770" operator="equal">
      <formula>1</formula>
    </cfRule>
    <cfRule type="cellIs" dxfId="610" priority="768" operator="equal">
      <formula>3</formula>
    </cfRule>
  </conditionalFormatting>
  <conditionalFormatting sqref="G199">
    <cfRule type="cellIs" dxfId="609" priority="765" operator="equal">
      <formula>1</formula>
    </cfRule>
    <cfRule type="cellIs" dxfId="608" priority="764" operator="equal">
      <formula>2</formula>
    </cfRule>
    <cfRule type="cellIs" dxfId="607" priority="763" operator="equal">
      <formula>3</formula>
    </cfRule>
    <cfRule type="cellIs" dxfId="606" priority="762" operator="equal">
      <formula>4</formula>
    </cfRule>
    <cfRule type="cellIs" dxfId="605" priority="761" operator="equal">
      <formula>5</formula>
    </cfRule>
  </conditionalFormatting>
  <conditionalFormatting sqref="G203">
    <cfRule type="cellIs" dxfId="604" priority="760" operator="equal">
      <formula>1</formula>
    </cfRule>
    <cfRule type="cellIs" dxfId="603" priority="759" operator="equal">
      <formula>2</formula>
    </cfRule>
    <cfRule type="cellIs" dxfId="602" priority="758" operator="equal">
      <formula>3</formula>
    </cfRule>
    <cfRule type="cellIs" dxfId="601" priority="757" operator="equal">
      <formula>4</formula>
    </cfRule>
    <cfRule type="cellIs" dxfId="600" priority="756" operator="equal">
      <formula>5</formula>
    </cfRule>
  </conditionalFormatting>
  <conditionalFormatting sqref="G205:G206">
    <cfRule type="cellIs" dxfId="599" priority="753" operator="equal">
      <formula>3</formula>
    </cfRule>
    <cfRule type="cellIs" dxfId="598" priority="755" operator="equal">
      <formula>1</formula>
    </cfRule>
    <cfRule type="cellIs" dxfId="597" priority="751" operator="equal">
      <formula>5</formula>
    </cfRule>
    <cfRule type="cellIs" dxfId="596" priority="752" operator="equal">
      <formula>4</formula>
    </cfRule>
    <cfRule type="cellIs" dxfId="595" priority="754" operator="equal">
      <formula>2</formula>
    </cfRule>
  </conditionalFormatting>
  <conditionalFormatting sqref="G208:G209">
    <cfRule type="cellIs" dxfId="594" priority="750" operator="equal">
      <formula>1</formula>
    </cfRule>
    <cfRule type="cellIs" dxfId="593" priority="749" operator="equal">
      <formula>2</formula>
    </cfRule>
    <cfRule type="cellIs" dxfId="592" priority="748" operator="equal">
      <formula>3</formula>
    </cfRule>
    <cfRule type="cellIs" dxfId="591" priority="747" operator="equal">
      <formula>4</formula>
    </cfRule>
    <cfRule type="cellIs" dxfId="590" priority="746" operator="equal">
      <formula>5</formula>
    </cfRule>
  </conditionalFormatting>
  <conditionalFormatting sqref="G211:G214">
    <cfRule type="cellIs" dxfId="589" priority="745" operator="equal">
      <formula>1</formula>
    </cfRule>
    <cfRule type="cellIs" dxfId="588" priority="744" operator="equal">
      <formula>2</formula>
    </cfRule>
    <cfRule type="cellIs" dxfId="587" priority="743" operator="equal">
      <formula>3</formula>
    </cfRule>
    <cfRule type="cellIs" dxfId="586" priority="742" operator="equal">
      <formula>4</formula>
    </cfRule>
    <cfRule type="cellIs" dxfId="585" priority="741" operator="equal">
      <formula>5</formula>
    </cfRule>
  </conditionalFormatting>
  <conditionalFormatting sqref="G217:G220">
    <cfRule type="cellIs" dxfId="584" priority="736" operator="equal">
      <formula>5</formula>
    </cfRule>
    <cfRule type="cellIs" dxfId="583" priority="737" operator="equal">
      <formula>4</formula>
    </cfRule>
    <cfRule type="cellIs" dxfId="582" priority="738" operator="equal">
      <formula>3</formula>
    </cfRule>
    <cfRule type="cellIs" dxfId="581" priority="739" operator="equal">
      <formula>2</formula>
    </cfRule>
    <cfRule type="cellIs" dxfId="580" priority="740" operator="equal">
      <formula>1</formula>
    </cfRule>
  </conditionalFormatting>
  <conditionalFormatting sqref="G225">
    <cfRule type="cellIs" dxfId="579" priority="731" operator="equal">
      <formula>5</formula>
    </cfRule>
    <cfRule type="cellIs" dxfId="578" priority="734" operator="equal">
      <formula>2</formula>
    </cfRule>
    <cfRule type="cellIs" dxfId="577" priority="735" operator="equal">
      <formula>1</formula>
    </cfRule>
    <cfRule type="cellIs" dxfId="576" priority="732" operator="equal">
      <formula>4</formula>
    </cfRule>
    <cfRule type="cellIs" dxfId="575" priority="733" operator="equal">
      <formula>3</formula>
    </cfRule>
  </conditionalFormatting>
  <conditionalFormatting sqref="G227">
    <cfRule type="cellIs" dxfId="574" priority="729" operator="equal">
      <formula>2</formula>
    </cfRule>
    <cfRule type="cellIs" dxfId="573" priority="728" operator="equal">
      <formula>3</formula>
    </cfRule>
    <cfRule type="cellIs" dxfId="572" priority="727" operator="equal">
      <formula>4</formula>
    </cfRule>
    <cfRule type="cellIs" dxfId="571" priority="726" operator="equal">
      <formula>5</formula>
    </cfRule>
    <cfRule type="cellIs" dxfId="570" priority="730" operator="equal">
      <formula>1</formula>
    </cfRule>
  </conditionalFormatting>
  <conditionalFormatting sqref="G229">
    <cfRule type="cellIs" dxfId="569" priority="725" operator="equal">
      <formula>1</formula>
    </cfRule>
    <cfRule type="cellIs" dxfId="568" priority="724" operator="equal">
      <formula>2</formula>
    </cfRule>
    <cfRule type="cellIs" dxfId="567" priority="723" operator="equal">
      <formula>3</formula>
    </cfRule>
    <cfRule type="cellIs" dxfId="566" priority="721" operator="equal">
      <formula>5</formula>
    </cfRule>
    <cfRule type="cellIs" dxfId="565" priority="722" operator="equal">
      <formula>4</formula>
    </cfRule>
  </conditionalFormatting>
  <conditionalFormatting sqref="G231">
    <cfRule type="cellIs" dxfId="564" priority="716" operator="equal">
      <formula>5</formula>
    </cfRule>
    <cfRule type="cellIs" dxfId="563" priority="717" operator="equal">
      <formula>4</formula>
    </cfRule>
    <cfRule type="cellIs" dxfId="562" priority="718" operator="equal">
      <formula>3</formula>
    </cfRule>
    <cfRule type="cellIs" dxfId="561" priority="719" operator="equal">
      <formula>2</formula>
    </cfRule>
    <cfRule type="cellIs" dxfId="560" priority="720" operator="equal">
      <formula>1</formula>
    </cfRule>
  </conditionalFormatting>
  <conditionalFormatting sqref="G233">
    <cfRule type="cellIs" dxfId="559" priority="712" operator="equal">
      <formula>4</formula>
    </cfRule>
    <cfRule type="cellIs" dxfId="558" priority="711" operator="equal">
      <formula>5</formula>
    </cfRule>
    <cfRule type="cellIs" dxfId="557" priority="715" operator="equal">
      <formula>1</formula>
    </cfRule>
    <cfRule type="cellIs" dxfId="556" priority="714" operator="equal">
      <formula>2</formula>
    </cfRule>
    <cfRule type="cellIs" dxfId="555" priority="713" operator="equal">
      <formula>3</formula>
    </cfRule>
  </conditionalFormatting>
  <conditionalFormatting sqref="G237">
    <cfRule type="cellIs" dxfId="554" priority="710" operator="equal">
      <formula>1</formula>
    </cfRule>
    <cfRule type="cellIs" dxfId="553" priority="709" operator="equal">
      <formula>2</formula>
    </cfRule>
    <cfRule type="cellIs" dxfId="552" priority="708" operator="equal">
      <formula>3</formula>
    </cfRule>
    <cfRule type="cellIs" dxfId="551" priority="707" operator="equal">
      <formula>4</formula>
    </cfRule>
    <cfRule type="cellIs" dxfId="550" priority="706" operator="equal">
      <formula>5</formula>
    </cfRule>
  </conditionalFormatting>
  <conditionalFormatting sqref="G239">
    <cfRule type="cellIs" dxfId="549" priority="705" operator="equal">
      <formula>1</formula>
    </cfRule>
    <cfRule type="cellIs" dxfId="548" priority="703" operator="equal">
      <formula>3</formula>
    </cfRule>
    <cfRule type="cellIs" dxfId="547" priority="701" operator="equal">
      <formula>5</formula>
    </cfRule>
    <cfRule type="cellIs" dxfId="546" priority="702" operator="equal">
      <formula>4</formula>
    </cfRule>
    <cfRule type="cellIs" dxfId="545" priority="704" operator="equal">
      <formula>2</formula>
    </cfRule>
  </conditionalFormatting>
  <conditionalFormatting sqref="G241">
    <cfRule type="cellIs" dxfId="544" priority="697" operator="equal">
      <formula>4</formula>
    </cfRule>
    <cfRule type="cellIs" dxfId="543" priority="699" operator="equal">
      <formula>2</formula>
    </cfRule>
    <cfRule type="cellIs" dxfId="542" priority="698" operator="equal">
      <formula>3</formula>
    </cfRule>
    <cfRule type="cellIs" dxfId="541" priority="696" operator="equal">
      <formula>5</formula>
    </cfRule>
    <cfRule type="cellIs" dxfId="540" priority="700" operator="equal">
      <formula>1</formula>
    </cfRule>
  </conditionalFormatting>
  <conditionalFormatting sqref="G244">
    <cfRule type="cellIs" dxfId="539" priority="695" operator="equal">
      <formula>1</formula>
    </cfRule>
    <cfRule type="cellIs" dxfId="538" priority="694" operator="equal">
      <formula>2</formula>
    </cfRule>
    <cfRule type="cellIs" dxfId="537" priority="693" operator="equal">
      <formula>3</formula>
    </cfRule>
    <cfRule type="cellIs" dxfId="536" priority="692" operator="equal">
      <formula>4</formula>
    </cfRule>
    <cfRule type="cellIs" dxfId="535" priority="691" operator="equal">
      <formula>5</formula>
    </cfRule>
  </conditionalFormatting>
  <conditionalFormatting sqref="G246">
    <cfRule type="cellIs" dxfId="534" priority="689" operator="equal">
      <formula>2</formula>
    </cfRule>
    <cfRule type="cellIs" dxfId="533" priority="687" operator="equal">
      <formula>4</formula>
    </cfRule>
    <cfRule type="cellIs" dxfId="532" priority="690" operator="equal">
      <formula>1</formula>
    </cfRule>
    <cfRule type="cellIs" dxfId="531" priority="686" operator="equal">
      <formula>5</formula>
    </cfRule>
    <cfRule type="cellIs" dxfId="530" priority="688" operator="equal">
      <formula>3</formula>
    </cfRule>
  </conditionalFormatting>
  <conditionalFormatting sqref="G248">
    <cfRule type="cellIs" dxfId="529" priority="681" operator="equal">
      <formula>5</formula>
    </cfRule>
    <cfRule type="cellIs" dxfId="528" priority="682" operator="equal">
      <formula>4</formula>
    </cfRule>
    <cfRule type="cellIs" dxfId="527" priority="683" operator="equal">
      <formula>3</formula>
    </cfRule>
    <cfRule type="cellIs" dxfId="526" priority="684" operator="equal">
      <formula>2</formula>
    </cfRule>
    <cfRule type="cellIs" dxfId="525" priority="685" operator="equal">
      <formula>1</formula>
    </cfRule>
  </conditionalFormatting>
  <conditionalFormatting sqref="G250">
    <cfRule type="cellIs" dxfId="524" priority="680" operator="equal">
      <formula>1</formula>
    </cfRule>
    <cfRule type="cellIs" dxfId="523" priority="679" operator="equal">
      <formula>2</formula>
    </cfRule>
    <cfRule type="cellIs" dxfId="522" priority="678" operator="equal">
      <formula>3</formula>
    </cfRule>
    <cfRule type="cellIs" dxfId="521" priority="677" operator="equal">
      <formula>4</formula>
    </cfRule>
    <cfRule type="cellIs" dxfId="520" priority="676" operator="equal">
      <formula>5</formula>
    </cfRule>
  </conditionalFormatting>
  <conditionalFormatting sqref="G254">
    <cfRule type="cellIs" dxfId="519" priority="675" operator="equal">
      <formula>1</formula>
    </cfRule>
    <cfRule type="cellIs" dxfId="518" priority="673" operator="equal">
      <formula>3</formula>
    </cfRule>
    <cfRule type="cellIs" dxfId="517" priority="672" operator="equal">
      <formula>4</formula>
    </cfRule>
    <cfRule type="cellIs" dxfId="516" priority="671" operator="equal">
      <formula>5</formula>
    </cfRule>
    <cfRule type="cellIs" dxfId="515" priority="674" operator="equal">
      <formula>2</formula>
    </cfRule>
  </conditionalFormatting>
  <conditionalFormatting sqref="G257">
    <cfRule type="cellIs" dxfId="514" priority="670" operator="equal">
      <formula>1</formula>
    </cfRule>
    <cfRule type="cellIs" dxfId="513" priority="669" operator="equal">
      <formula>2</formula>
    </cfRule>
    <cfRule type="cellIs" dxfId="512" priority="668" operator="equal">
      <formula>3</formula>
    </cfRule>
    <cfRule type="cellIs" dxfId="511" priority="667" operator="equal">
      <formula>4</formula>
    </cfRule>
    <cfRule type="cellIs" dxfId="510" priority="666" operator="equal">
      <formula>5</formula>
    </cfRule>
  </conditionalFormatting>
  <conditionalFormatting sqref="G260">
    <cfRule type="cellIs" dxfId="509" priority="665" operator="equal">
      <formula>1</formula>
    </cfRule>
    <cfRule type="cellIs" dxfId="508" priority="664" operator="equal">
      <formula>2</formula>
    </cfRule>
    <cfRule type="cellIs" dxfId="507" priority="663" operator="equal">
      <formula>3</formula>
    </cfRule>
    <cfRule type="cellIs" dxfId="506" priority="661" operator="equal">
      <formula>5</formula>
    </cfRule>
    <cfRule type="cellIs" dxfId="505" priority="662" operator="equal">
      <formula>4</formula>
    </cfRule>
  </conditionalFormatting>
  <conditionalFormatting sqref="G263">
    <cfRule type="cellIs" dxfId="504" priority="656" operator="equal">
      <formula>5</formula>
    </cfRule>
    <cfRule type="cellIs" dxfId="503" priority="657" operator="equal">
      <formula>4</formula>
    </cfRule>
    <cfRule type="cellIs" dxfId="502" priority="658" operator="equal">
      <formula>3</formula>
    </cfRule>
    <cfRule type="cellIs" dxfId="501" priority="659" operator="equal">
      <formula>2</formula>
    </cfRule>
    <cfRule type="cellIs" dxfId="500" priority="660" operator="equal">
      <formula>1</formula>
    </cfRule>
  </conditionalFormatting>
  <conditionalFormatting sqref="G266">
    <cfRule type="cellIs" dxfId="499" priority="652" operator="equal">
      <formula>4</formula>
    </cfRule>
    <cfRule type="cellIs" dxfId="498" priority="651" operator="equal">
      <formula>5</formula>
    </cfRule>
    <cfRule type="cellIs" dxfId="497" priority="655" operator="equal">
      <formula>1</formula>
    </cfRule>
    <cfRule type="cellIs" dxfId="496" priority="654" operator="equal">
      <formula>2</formula>
    </cfRule>
    <cfRule type="cellIs" dxfId="495" priority="653" operator="equal">
      <formula>3</formula>
    </cfRule>
  </conditionalFormatting>
  <conditionalFormatting sqref="G271:G274">
    <cfRule type="cellIs" dxfId="494" priority="648" operator="equal">
      <formula>3</formula>
    </cfRule>
    <cfRule type="cellIs" dxfId="493" priority="647" operator="equal">
      <formula>4</formula>
    </cfRule>
    <cfRule type="cellIs" dxfId="492" priority="646" operator="equal">
      <formula>5</formula>
    </cfRule>
    <cfRule type="cellIs" dxfId="491" priority="650" operator="equal">
      <formula>1</formula>
    </cfRule>
    <cfRule type="cellIs" dxfId="490" priority="649" operator="equal">
      <formula>2</formula>
    </cfRule>
  </conditionalFormatting>
  <conditionalFormatting sqref="G277:G279">
    <cfRule type="cellIs" dxfId="489" priority="643" operator="equal">
      <formula>3</formula>
    </cfRule>
    <cfRule type="cellIs" dxfId="488" priority="645" operator="equal">
      <formula>1</formula>
    </cfRule>
    <cfRule type="cellIs" dxfId="487" priority="642" operator="equal">
      <formula>4</formula>
    </cfRule>
    <cfRule type="cellIs" dxfId="486" priority="641" operator="equal">
      <formula>5</formula>
    </cfRule>
    <cfRule type="cellIs" dxfId="485" priority="644" operator="equal">
      <formula>2</formula>
    </cfRule>
  </conditionalFormatting>
  <conditionalFormatting sqref="G281">
    <cfRule type="cellIs" dxfId="484" priority="640" operator="equal">
      <formula>1</formula>
    </cfRule>
    <cfRule type="cellIs" dxfId="483" priority="639" operator="equal">
      <formula>2</formula>
    </cfRule>
    <cfRule type="cellIs" dxfId="482" priority="637" operator="equal">
      <formula>4</formula>
    </cfRule>
    <cfRule type="cellIs" dxfId="481" priority="636" operator="equal">
      <formula>5</formula>
    </cfRule>
    <cfRule type="cellIs" dxfId="480" priority="638" operator="equal">
      <formula>3</formula>
    </cfRule>
  </conditionalFormatting>
  <conditionalFormatting sqref="G283">
    <cfRule type="cellIs" dxfId="479" priority="635" operator="equal">
      <formula>1</formula>
    </cfRule>
    <cfRule type="cellIs" dxfId="478" priority="634" operator="equal">
      <formula>2</formula>
    </cfRule>
    <cfRule type="cellIs" dxfId="477" priority="633" operator="equal">
      <formula>3</formula>
    </cfRule>
    <cfRule type="cellIs" dxfId="476" priority="632" operator="equal">
      <formula>4</formula>
    </cfRule>
    <cfRule type="cellIs" dxfId="475" priority="631" operator="equal">
      <formula>5</formula>
    </cfRule>
  </conditionalFormatting>
  <conditionalFormatting sqref="G285">
    <cfRule type="cellIs" dxfId="474" priority="630" operator="equal">
      <formula>1</formula>
    </cfRule>
    <cfRule type="cellIs" dxfId="473" priority="629" operator="equal">
      <formula>2</formula>
    </cfRule>
    <cfRule type="cellIs" dxfId="472" priority="628" operator="equal">
      <formula>3</formula>
    </cfRule>
    <cfRule type="cellIs" dxfId="471" priority="627" operator="equal">
      <formula>4</formula>
    </cfRule>
    <cfRule type="cellIs" dxfId="470" priority="626" operator="equal">
      <formula>5</formula>
    </cfRule>
  </conditionalFormatting>
  <conditionalFormatting sqref="G287">
    <cfRule type="cellIs" dxfId="469" priority="625" operator="equal">
      <formula>1</formula>
    </cfRule>
    <cfRule type="cellIs" dxfId="468" priority="624" operator="equal">
      <formula>2</formula>
    </cfRule>
    <cfRule type="cellIs" dxfId="467" priority="623" operator="equal">
      <formula>3</formula>
    </cfRule>
    <cfRule type="cellIs" dxfId="466" priority="622" operator="equal">
      <formula>4</formula>
    </cfRule>
    <cfRule type="cellIs" dxfId="465" priority="621" operator="equal">
      <formula>5</formula>
    </cfRule>
  </conditionalFormatting>
  <conditionalFormatting sqref="G289">
    <cfRule type="cellIs" dxfId="464" priority="620" operator="equal">
      <formula>1</formula>
    </cfRule>
    <cfRule type="cellIs" dxfId="463" priority="619" operator="equal">
      <formula>2</formula>
    </cfRule>
    <cfRule type="cellIs" dxfId="462" priority="618" operator="equal">
      <formula>3</formula>
    </cfRule>
    <cfRule type="cellIs" dxfId="461" priority="616" operator="equal">
      <formula>5</formula>
    </cfRule>
    <cfRule type="cellIs" dxfId="460" priority="617" operator="equal">
      <formula>4</formula>
    </cfRule>
  </conditionalFormatting>
  <conditionalFormatting sqref="G291">
    <cfRule type="cellIs" dxfId="459" priority="615" operator="equal">
      <formula>1</formula>
    </cfRule>
    <cfRule type="cellIs" dxfId="458" priority="614" operator="equal">
      <formula>2</formula>
    </cfRule>
    <cfRule type="cellIs" dxfId="457" priority="612" operator="equal">
      <formula>4</formula>
    </cfRule>
    <cfRule type="cellIs" dxfId="456" priority="611" operator="equal">
      <formula>5</formula>
    </cfRule>
    <cfRule type="cellIs" dxfId="455" priority="613" operator="equal">
      <formula>3</formula>
    </cfRule>
  </conditionalFormatting>
  <conditionalFormatting sqref="G293">
    <cfRule type="cellIs" dxfId="454" priority="610" operator="equal">
      <formula>1</formula>
    </cfRule>
    <cfRule type="cellIs" dxfId="453" priority="609" operator="equal">
      <formula>2</formula>
    </cfRule>
    <cfRule type="cellIs" dxfId="452" priority="608" operator="equal">
      <formula>3</formula>
    </cfRule>
    <cfRule type="cellIs" dxfId="451" priority="607" operator="equal">
      <formula>4</formula>
    </cfRule>
    <cfRule type="cellIs" dxfId="450" priority="606" operator="equal">
      <formula>5</formula>
    </cfRule>
  </conditionalFormatting>
  <conditionalFormatting sqref="G295">
    <cfRule type="cellIs" dxfId="449" priority="605" operator="equal">
      <formula>1</formula>
    </cfRule>
    <cfRule type="cellIs" dxfId="448" priority="604" operator="equal">
      <formula>2</formula>
    </cfRule>
    <cfRule type="cellIs" dxfId="447" priority="603" operator="equal">
      <formula>3</formula>
    </cfRule>
    <cfRule type="cellIs" dxfId="446" priority="601" operator="equal">
      <formula>5</formula>
    </cfRule>
    <cfRule type="cellIs" dxfId="445" priority="602" operator="equal">
      <formula>4</formula>
    </cfRule>
  </conditionalFormatting>
  <conditionalFormatting sqref="G297">
    <cfRule type="cellIs" dxfId="444" priority="596" operator="equal">
      <formula>5</formula>
    </cfRule>
    <cfRule type="cellIs" dxfId="443" priority="597" operator="equal">
      <formula>4</formula>
    </cfRule>
    <cfRule type="cellIs" dxfId="442" priority="598" operator="equal">
      <formula>3</formula>
    </cfRule>
    <cfRule type="cellIs" dxfId="441" priority="599" operator="equal">
      <formula>2</formula>
    </cfRule>
    <cfRule type="cellIs" dxfId="440" priority="600" operator="equal">
      <formula>1</formula>
    </cfRule>
  </conditionalFormatting>
  <conditionalFormatting sqref="G302">
    <cfRule type="cellIs" dxfId="439" priority="591" operator="equal">
      <formula>5</formula>
    </cfRule>
    <cfRule type="cellIs" dxfId="438" priority="592" operator="equal">
      <formula>4</formula>
    </cfRule>
    <cfRule type="cellIs" dxfId="437" priority="593" operator="equal">
      <formula>3</formula>
    </cfRule>
    <cfRule type="cellIs" dxfId="436" priority="594" operator="equal">
      <formula>2</formula>
    </cfRule>
    <cfRule type="cellIs" dxfId="435" priority="595" operator="equal">
      <formula>1</formula>
    </cfRule>
  </conditionalFormatting>
  <conditionalFormatting sqref="G305">
    <cfRule type="cellIs" dxfId="434" priority="588" operator="equal">
      <formula>3</formula>
    </cfRule>
    <cfRule type="cellIs" dxfId="433" priority="587" operator="equal">
      <formula>4</formula>
    </cfRule>
    <cfRule type="cellIs" dxfId="432" priority="590" operator="equal">
      <formula>1</formula>
    </cfRule>
    <cfRule type="cellIs" dxfId="431" priority="589" operator="equal">
      <formula>2</formula>
    </cfRule>
    <cfRule type="cellIs" dxfId="430" priority="586" operator="equal">
      <formula>5</formula>
    </cfRule>
  </conditionalFormatting>
  <conditionalFormatting sqref="G308">
    <cfRule type="cellIs" dxfId="429" priority="585" operator="equal">
      <formula>1</formula>
    </cfRule>
    <cfRule type="cellIs" dxfId="428" priority="584" operator="equal">
      <formula>2</formula>
    </cfRule>
    <cfRule type="cellIs" dxfId="427" priority="583" operator="equal">
      <formula>3</formula>
    </cfRule>
    <cfRule type="cellIs" dxfId="426" priority="582" operator="equal">
      <formula>4</formula>
    </cfRule>
    <cfRule type="cellIs" dxfId="425" priority="581" operator="equal">
      <formula>5</formula>
    </cfRule>
  </conditionalFormatting>
  <conditionalFormatting sqref="G311">
    <cfRule type="cellIs" dxfId="424" priority="580" operator="equal">
      <formula>1</formula>
    </cfRule>
    <cfRule type="cellIs" dxfId="423" priority="579" operator="equal">
      <formula>2</formula>
    </cfRule>
    <cfRule type="cellIs" dxfId="422" priority="578" operator="equal">
      <formula>3</formula>
    </cfRule>
    <cfRule type="cellIs" dxfId="421" priority="576" operator="equal">
      <formula>5</formula>
    </cfRule>
    <cfRule type="cellIs" dxfId="420" priority="577" operator="equal">
      <formula>4</formula>
    </cfRule>
  </conditionalFormatting>
  <conditionalFormatting sqref="G317">
    <cfRule type="cellIs" dxfId="419" priority="575" operator="equal">
      <formula>1</formula>
    </cfRule>
    <cfRule type="cellIs" dxfId="418" priority="574" operator="equal">
      <formula>2</formula>
    </cfRule>
    <cfRule type="cellIs" dxfId="417" priority="573" operator="equal">
      <formula>3</formula>
    </cfRule>
    <cfRule type="cellIs" dxfId="416" priority="572" operator="equal">
      <formula>4</formula>
    </cfRule>
    <cfRule type="cellIs" dxfId="415" priority="571" operator="equal">
      <formula>5</formula>
    </cfRule>
  </conditionalFormatting>
  <conditionalFormatting sqref="G320">
    <cfRule type="cellIs" dxfId="414" priority="570" operator="equal">
      <formula>1</formula>
    </cfRule>
    <cfRule type="cellIs" dxfId="413" priority="569" operator="equal">
      <formula>2</formula>
    </cfRule>
    <cfRule type="cellIs" dxfId="412" priority="568" operator="equal">
      <formula>3</formula>
    </cfRule>
    <cfRule type="cellIs" dxfId="411" priority="567" operator="equal">
      <formula>4</formula>
    </cfRule>
    <cfRule type="cellIs" dxfId="410" priority="566" operator="equal">
      <formula>5</formula>
    </cfRule>
  </conditionalFormatting>
  <conditionalFormatting sqref="G323">
    <cfRule type="cellIs" dxfId="409" priority="565" operator="equal">
      <formula>1</formula>
    </cfRule>
    <cfRule type="cellIs" dxfId="408" priority="564" operator="equal">
      <formula>2</formula>
    </cfRule>
    <cfRule type="cellIs" dxfId="407" priority="563" operator="equal">
      <formula>3</formula>
    </cfRule>
    <cfRule type="cellIs" dxfId="406" priority="562" operator="equal">
      <formula>4</formula>
    </cfRule>
    <cfRule type="cellIs" dxfId="405" priority="561" operator="equal">
      <formula>5</formula>
    </cfRule>
  </conditionalFormatting>
  <conditionalFormatting sqref="G328">
    <cfRule type="cellIs" dxfId="404" priority="560" operator="equal">
      <formula>1</formula>
    </cfRule>
    <cfRule type="cellIs" dxfId="403" priority="558" operator="equal">
      <formula>3</formula>
    </cfRule>
    <cfRule type="cellIs" dxfId="402" priority="559" operator="equal">
      <formula>2</formula>
    </cfRule>
    <cfRule type="cellIs" dxfId="401" priority="556" operator="equal">
      <formula>5</formula>
    </cfRule>
    <cfRule type="cellIs" dxfId="400" priority="557" operator="equal">
      <formula>4</formula>
    </cfRule>
  </conditionalFormatting>
  <conditionalFormatting sqref="G330">
    <cfRule type="cellIs" dxfId="399" priority="551" operator="equal">
      <formula>5</formula>
    </cfRule>
    <cfRule type="cellIs" dxfId="398" priority="554" operator="equal">
      <formula>2</formula>
    </cfRule>
    <cfRule type="cellIs" dxfId="397" priority="552" operator="equal">
      <formula>4</formula>
    </cfRule>
    <cfRule type="cellIs" dxfId="396" priority="553" operator="equal">
      <formula>3</formula>
    </cfRule>
    <cfRule type="cellIs" dxfId="395" priority="555" operator="equal">
      <formula>1</formula>
    </cfRule>
  </conditionalFormatting>
  <conditionalFormatting sqref="G332">
    <cfRule type="cellIs" dxfId="394" priority="549" operator="equal">
      <formula>2</formula>
    </cfRule>
    <cfRule type="cellIs" dxfId="393" priority="550" operator="equal">
      <formula>1</formula>
    </cfRule>
    <cfRule type="cellIs" dxfId="392" priority="547" operator="equal">
      <formula>4</formula>
    </cfRule>
    <cfRule type="cellIs" dxfId="391" priority="546" operator="equal">
      <formula>5</formula>
    </cfRule>
    <cfRule type="cellIs" dxfId="390" priority="548" operator="equal">
      <formula>3</formula>
    </cfRule>
  </conditionalFormatting>
  <conditionalFormatting sqref="G334">
    <cfRule type="cellIs" dxfId="389" priority="544" operator="equal">
      <formula>2</formula>
    </cfRule>
    <cfRule type="cellIs" dxfId="388" priority="543" operator="equal">
      <formula>3</formula>
    </cfRule>
    <cfRule type="cellIs" dxfId="387" priority="542" operator="equal">
      <formula>4</formula>
    </cfRule>
    <cfRule type="cellIs" dxfId="386" priority="541" operator="equal">
      <formula>5</formula>
    </cfRule>
    <cfRule type="cellIs" dxfId="385" priority="545" operator="equal">
      <formula>1</formula>
    </cfRule>
  </conditionalFormatting>
  <conditionalFormatting sqref="G336">
    <cfRule type="cellIs" dxfId="384" priority="540" operator="equal">
      <formula>1</formula>
    </cfRule>
    <cfRule type="cellIs" dxfId="383" priority="539" operator="equal">
      <formula>2</formula>
    </cfRule>
    <cfRule type="cellIs" dxfId="382" priority="538" operator="equal">
      <formula>3</formula>
    </cfRule>
    <cfRule type="cellIs" dxfId="381" priority="537" operator="equal">
      <formula>4</formula>
    </cfRule>
    <cfRule type="cellIs" dxfId="380" priority="536" operator="equal">
      <formula>5</formula>
    </cfRule>
  </conditionalFormatting>
  <conditionalFormatting sqref="G343">
    <cfRule type="cellIs" dxfId="379" priority="533" operator="equal">
      <formula>3</formula>
    </cfRule>
    <cfRule type="cellIs" dxfId="378" priority="535" operator="equal">
      <formula>1</formula>
    </cfRule>
    <cfRule type="cellIs" dxfId="377" priority="531" operator="equal">
      <formula>5</formula>
    </cfRule>
    <cfRule type="cellIs" dxfId="376" priority="532" operator="equal">
      <formula>4</formula>
    </cfRule>
    <cfRule type="cellIs" dxfId="375" priority="534" operator="equal">
      <formula>2</formula>
    </cfRule>
  </conditionalFormatting>
  <conditionalFormatting sqref="G346">
    <cfRule type="cellIs" dxfId="374" priority="530" operator="equal">
      <formula>1</formula>
    </cfRule>
    <cfRule type="cellIs" dxfId="373" priority="529" operator="equal">
      <formula>2</formula>
    </cfRule>
    <cfRule type="cellIs" dxfId="372" priority="527" operator="equal">
      <formula>4</formula>
    </cfRule>
    <cfRule type="cellIs" dxfId="371" priority="526" operator="equal">
      <formula>5</formula>
    </cfRule>
    <cfRule type="cellIs" dxfId="370" priority="528" operator="equal">
      <formula>3</formula>
    </cfRule>
  </conditionalFormatting>
  <conditionalFormatting sqref="G349">
    <cfRule type="cellIs" dxfId="369" priority="525" operator="equal">
      <formula>1</formula>
    </cfRule>
    <cfRule type="cellIs" dxfId="368" priority="524" operator="equal">
      <formula>2</formula>
    </cfRule>
    <cfRule type="cellIs" dxfId="367" priority="523" operator="equal">
      <formula>3</formula>
    </cfRule>
    <cfRule type="cellIs" dxfId="366" priority="522" operator="equal">
      <formula>4</formula>
    </cfRule>
    <cfRule type="cellIs" dxfId="365" priority="521" operator="equal">
      <formula>5</formula>
    </cfRule>
  </conditionalFormatting>
  <conditionalFormatting sqref="G352">
    <cfRule type="cellIs" dxfId="364" priority="520" operator="equal">
      <formula>1</formula>
    </cfRule>
    <cfRule type="cellIs" dxfId="363" priority="519" operator="equal">
      <formula>2</formula>
    </cfRule>
    <cfRule type="cellIs" dxfId="362" priority="518" operator="equal">
      <formula>3</formula>
    </cfRule>
    <cfRule type="cellIs" dxfId="361" priority="517" operator="equal">
      <formula>4</formula>
    </cfRule>
    <cfRule type="cellIs" dxfId="360" priority="516" operator="equal">
      <formula>5</formula>
    </cfRule>
  </conditionalFormatting>
  <conditionalFormatting sqref="G355">
    <cfRule type="cellIs" dxfId="359" priority="515" operator="equal">
      <formula>1</formula>
    </cfRule>
    <cfRule type="cellIs" dxfId="358" priority="514" operator="equal">
      <formula>2</formula>
    </cfRule>
    <cfRule type="cellIs" dxfId="357" priority="513" operator="equal">
      <formula>3</formula>
    </cfRule>
    <cfRule type="cellIs" dxfId="356" priority="512" operator="equal">
      <formula>4</formula>
    </cfRule>
    <cfRule type="cellIs" dxfId="355" priority="511" operator="equal">
      <formula>5</formula>
    </cfRule>
  </conditionalFormatting>
  <conditionalFormatting sqref="G361:G363">
    <cfRule type="cellIs" dxfId="354" priority="510" operator="equal">
      <formula>1</formula>
    </cfRule>
    <cfRule type="cellIs" dxfId="353" priority="509" operator="equal">
      <formula>2</formula>
    </cfRule>
    <cfRule type="cellIs" dxfId="352" priority="508" operator="equal">
      <formula>3</formula>
    </cfRule>
    <cfRule type="cellIs" dxfId="351" priority="507" operator="equal">
      <formula>4</formula>
    </cfRule>
    <cfRule type="cellIs" dxfId="350" priority="506" operator="equal">
      <formula>5</formula>
    </cfRule>
  </conditionalFormatting>
  <conditionalFormatting sqref="G366:G367">
    <cfRule type="cellIs" dxfId="349" priority="495" operator="equal">
      <formula>1</formula>
    </cfRule>
    <cfRule type="cellIs" dxfId="348" priority="494" operator="equal">
      <formula>2</formula>
    </cfRule>
    <cfRule type="cellIs" dxfId="347" priority="493" operator="equal">
      <formula>3</formula>
    </cfRule>
    <cfRule type="cellIs" dxfId="346" priority="492" operator="equal">
      <formula>4</formula>
    </cfRule>
    <cfRule type="cellIs" dxfId="345" priority="491" operator="equal">
      <formula>5</formula>
    </cfRule>
  </conditionalFormatting>
  <conditionalFormatting sqref="G369:G370">
    <cfRule type="cellIs" dxfId="344" priority="490" operator="equal">
      <formula>1</formula>
    </cfRule>
    <cfRule type="cellIs" dxfId="343" priority="489" operator="equal">
      <formula>2</formula>
    </cfRule>
    <cfRule type="cellIs" dxfId="342" priority="488" operator="equal">
      <formula>3</formula>
    </cfRule>
    <cfRule type="cellIs" dxfId="341" priority="487" operator="equal">
      <formula>4</formula>
    </cfRule>
    <cfRule type="cellIs" dxfId="340" priority="486" operator="equal">
      <formula>5</formula>
    </cfRule>
  </conditionalFormatting>
  <conditionalFormatting sqref="G373:G376">
    <cfRule type="cellIs" dxfId="339" priority="465" operator="equal">
      <formula>1</formula>
    </cfRule>
    <cfRule type="cellIs" dxfId="338" priority="464" operator="equal">
      <formula>2</formula>
    </cfRule>
    <cfRule type="cellIs" dxfId="337" priority="463" operator="equal">
      <formula>3</formula>
    </cfRule>
    <cfRule type="cellIs" dxfId="336" priority="461" operator="equal">
      <formula>5</formula>
    </cfRule>
    <cfRule type="cellIs" dxfId="335" priority="462" operator="equal">
      <formula>4</formula>
    </cfRule>
  </conditionalFormatting>
  <conditionalFormatting sqref="G381:G384">
    <cfRule type="cellIs" dxfId="334" priority="458" operator="equal">
      <formula>3</formula>
    </cfRule>
    <cfRule type="cellIs" dxfId="333" priority="460" operator="equal">
      <formula>1</formula>
    </cfRule>
    <cfRule type="cellIs" dxfId="332" priority="459" operator="equal">
      <formula>2</formula>
    </cfRule>
    <cfRule type="cellIs" dxfId="331" priority="457" operator="equal">
      <formula>4</formula>
    </cfRule>
    <cfRule type="cellIs" dxfId="330" priority="456" operator="equal">
      <formula>5</formula>
    </cfRule>
  </conditionalFormatting>
  <conditionalFormatting sqref="G389">
    <cfRule type="cellIs" dxfId="329" priority="453" operator="equal">
      <formula>3</formula>
    </cfRule>
    <cfRule type="cellIs" dxfId="328" priority="452" operator="equal">
      <formula>4</formula>
    </cfRule>
    <cfRule type="cellIs" dxfId="327" priority="455" operator="equal">
      <formula>1</formula>
    </cfRule>
    <cfRule type="cellIs" dxfId="326" priority="451" operator="equal">
      <formula>5</formula>
    </cfRule>
    <cfRule type="cellIs" dxfId="325" priority="454" operator="equal">
      <formula>2</formula>
    </cfRule>
  </conditionalFormatting>
  <conditionalFormatting sqref="G391">
    <cfRule type="cellIs" dxfId="324" priority="450" operator="equal">
      <formula>1</formula>
    </cfRule>
    <cfRule type="cellIs" dxfId="323" priority="449" operator="equal">
      <formula>2</formula>
    </cfRule>
    <cfRule type="cellIs" dxfId="322" priority="448" operator="equal">
      <formula>3</formula>
    </cfRule>
    <cfRule type="cellIs" dxfId="321" priority="447" operator="equal">
      <formula>4</formula>
    </cfRule>
    <cfRule type="cellIs" dxfId="320" priority="446" operator="equal">
      <formula>5</formula>
    </cfRule>
  </conditionalFormatting>
  <conditionalFormatting sqref="G393">
    <cfRule type="cellIs" dxfId="319" priority="445" operator="equal">
      <formula>1</formula>
    </cfRule>
    <cfRule type="cellIs" dxfId="318" priority="444" operator="equal">
      <formula>2</formula>
    </cfRule>
    <cfRule type="cellIs" dxfId="317" priority="443" operator="equal">
      <formula>3</formula>
    </cfRule>
    <cfRule type="cellIs" dxfId="316" priority="442" operator="equal">
      <formula>4</formula>
    </cfRule>
    <cfRule type="cellIs" dxfId="315" priority="441" operator="equal">
      <formula>5</formula>
    </cfRule>
  </conditionalFormatting>
  <conditionalFormatting sqref="G397">
    <cfRule type="cellIs" dxfId="314" priority="439" operator="equal">
      <formula>2</formula>
    </cfRule>
    <cfRule type="cellIs" dxfId="313" priority="437" operator="equal">
      <formula>4</formula>
    </cfRule>
    <cfRule type="cellIs" dxfId="312" priority="440" operator="equal">
      <formula>1</formula>
    </cfRule>
    <cfRule type="cellIs" dxfId="311" priority="436" operator="equal">
      <formula>5</formula>
    </cfRule>
    <cfRule type="cellIs" dxfId="310" priority="438" operator="equal">
      <formula>3</formula>
    </cfRule>
  </conditionalFormatting>
  <conditionalFormatting sqref="G399">
    <cfRule type="cellIs" dxfId="309" priority="431" operator="equal">
      <formula>5</formula>
    </cfRule>
    <cfRule type="cellIs" dxfId="308" priority="432" operator="equal">
      <formula>4</formula>
    </cfRule>
    <cfRule type="cellIs" dxfId="307" priority="433" operator="equal">
      <formula>3</formula>
    </cfRule>
    <cfRule type="cellIs" dxfId="306" priority="434" operator="equal">
      <formula>2</formula>
    </cfRule>
    <cfRule type="cellIs" dxfId="305" priority="435" operator="equal">
      <formula>1</formula>
    </cfRule>
  </conditionalFormatting>
  <conditionalFormatting sqref="G401">
    <cfRule type="cellIs" dxfId="304" priority="430" operator="equal">
      <formula>1</formula>
    </cfRule>
    <cfRule type="cellIs" dxfId="303" priority="429" operator="equal">
      <formula>2</formula>
    </cfRule>
    <cfRule type="cellIs" dxfId="302" priority="428" operator="equal">
      <formula>3</formula>
    </cfRule>
    <cfRule type="cellIs" dxfId="301" priority="427" operator="equal">
      <formula>4</formula>
    </cfRule>
    <cfRule type="cellIs" dxfId="300" priority="426" operator="equal">
      <formula>5</formula>
    </cfRule>
  </conditionalFormatting>
  <conditionalFormatting sqref="G403">
    <cfRule type="cellIs" dxfId="299" priority="425" operator="equal">
      <formula>1</formula>
    </cfRule>
    <cfRule type="cellIs" dxfId="298" priority="423" operator="equal">
      <formula>3</formula>
    </cfRule>
    <cfRule type="cellIs" dxfId="297" priority="422" operator="equal">
      <formula>4</formula>
    </cfRule>
    <cfRule type="cellIs" dxfId="296" priority="421" operator="equal">
      <formula>5</formula>
    </cfRule>
    <cfRule type="cellIs" dxfId="295" priority="424" operator="equal">
      <formula>2</formula>
    </cfRule>
  </conditionalFormatting>
  <conditionalFormatting sqref="G405">
    <cfRule type="cellIs" dxfId="294" priority="420" operator="equal">
      <formula>1</formula>
    </cfRule>
    <cfRule type="cellIs" dxfId="293" priority="419" operator="equal">
      <formula>2</formula>
    </cfRule>
    <cfRule type="cellIs" dxfId="292" priority="418" operator="equal">
      <formula>3</formula>
    </cfRule>
    <cfRule type="cellIs" dxfId="291" priority="417" operator="equal">
      <formula>4</formula>
    </cfRule>
    <cfRule type="cellIs" dxfId="290" priority="416" operator="equal">
      <formula>5</formula>
    </cfRule>
  </conditionalFormatting>
  <conditionalFormatting sqref="G409:G413">
    <cfRule type="cellIs" dxfId="289" priority="415" operator="equal">
      <formula>1</formula>
    </cfRule>
    <cfRule type="cellIs" dxfId="288" priority="414" operator="equal">
      <formula>2</formula>
    </cfRule>
    <cfRule type="cellIs" dxfId="287" priority="413" operator="equal">
      <formula>3</formula>
    </cfRule>
    <cfRule type="cellIs" dxfId="286" priority="411" operator="equal">
      <formula>5</formula>
    </cfRule>
    <cfRule type="cellIs" dxfId="285" priority="412" operator="equal">
      <formula>4</formula>
    </cfRule>
  </conditionalFormatting>
  <conditionalFormatting sqref="G417:G420">
    <cfRule type="cellIs" dxfId="284" priority="406" operator="equal">
      <formula>5</formula>
    </cfRule>
    <cfRule type="cellIs" dxfId="283" priority="407" operator="equal">
      <formula>4</formula>
    </cfRule>
    <cfRule type="cellIs" dxfId="282" priority="408" operator="equal">
      <formula>3</formula>
    </cfRule>
    <cfRule type="cellIs" dxfId="281" priority="409" operator="equal">
      <formula>2</formula>
    </cfRule>
    <cfRule type="cellIs" dxfId="280" priority="410" operator="equal">
      <formula>1</formula>
    </cfRule>
  </conditionalFormatting>
  <conditionalFormatting sqref="G425">
    <cfRule type="cellIs" dxfId="279" priority="402" operator="equal">
      <formula>4</formula>
    </cfRule>
    <cfRule type="cellIs" dxfId="278" priority="401" operator="equal">
      <formula>5</formula>
    </cfRule>
    <cfRule type="cellIs" dxfId="277" priority="404" operator="equal">
      <formula>2</formula>
    </cfRule>
    <cfRule type="cellIs" dxfId="276" priority="405" operator="equal">
      <formula>1</formula>
    </cfRule>
    <cfRule type="cellIs" dxfId="275" priority="403" operator="equal">
      <formula>3</formula>
    </cfRule>
  </conditionalFormatting>
  <conditionalFormatting sqref="G428">
    <cfRule type="cellIs" dxfId="274" priority="400" operator="equal">
      <formula>1</formula>
    </cfRule>
    <cfRule type="cellIs" dxfId="273" priority="399" operator="equal">
      <formula>2</formula>
    </cfRule>
    <cfRule type="cellIs" dxfId="272" priority="398" operator="equal">
      <formula>3</formula>
    </cfRule>
    <cfRule type="cellIs" dxfId="271" priority="397" operator="equal">
      <formula>4</formula>
    </cfRule>
    <cfRule type="cellIs" dxfId="270" priority="396" operator="equal">
      <formula>5</formula>
    </cfRule>
  </conditionalFormatting>
  <conditionalFormatting sqref="G433">
    <cfRule type="cellIs" dxfId="269" priority="395" operator="equal">
      <formula>1</formula>
    </cfRule>
    <cfRule type="cellIs" dxfId="268" priority="394" operator="equal">
      <formula>2</formula>
    </cfRule>
    <cfRule type="cellIs" dxfId="267" priority="393" operator="equal">
      <formula>3</formula>
    </cfRule>
    <cfRule type="cellIs" dxfId="266" priority="392" operator="equal">
      <formula>4</formula>
    </cfRule>
    <cfRule type="cellIs" dxfId="265" priority="391" operator="equal">
      <formula>5</formula>
    </cfRule>
  </conditionalFormatting>
  <conditionalFormatting sqref="G435">
    <cfRule type="cellIs" dxfId="264" priority="389" operator="equal">
      <formula>2</formula>
    </cfRule>
    <cfRule type="cellIs" dxfId="263" priority="387" operator="equal">
      <formula>4</formula>
    </cfRule>
    <cfRule type="cellIs" dxfId="262" priority="386" operator="equal">
      <formula>5</formula>
    </cfRule>
    <cfRule type="cellIs" dxfId="261" priority="390" operator="equal">
      <formula>1</formula>
    </cfRule>
    <cfRule type="cellIs" dxfId="260" priority="388" operator="equal">
      <formula>3</formula>
    </cfRule>
  </conditionalFormatting>
  <conditionalFormatting sqref="G437">
    <cfRule type="cellIs" dxfId="259" priority="385" operator="equal">
      <formula>1</formula>
    </cfRule>
    <cfRule type="cellIs" dxfId="258" priority="384" operator="equal">
      <formula>2</formula>
    </cfRule>
    <cfRule type="cellIs" dxfId="257" priority="383" operator="equal">
      <formula>3</formula>
    </cfRule>
    <cfRule type="cellIs" dxfId="256" priority="382" operator="equal">
      <formula>4</formula>
    </cfRule>
    <cfRule type="cellIs" dxfId="255" priority="381" operator="equal">
      <formula>5</formula>
    </cfRule>
  </conditionalFormatting>
  <conditionalFormatting sqref="G439">
    <cfRule type="cellIs" dxfId="254" priority="380" operator="equal">
      <formula>1</formula>
    </cfRule>
    <cfRule type="cellIs" dxfId="253" priority="378" operator="equal">
      <formula>3</formula>
    </cfRule>
    <cfRule type="cellIs" dxfId="252" priority="379" operator="equal">
      <formula>2</formula>
    </cfRule>
    <cfRule type="cellIs" dxfId="251" priority="377" operator="equal">
      <formula>4</formula>
    </cfRule>
    <cfRule type="cellIs" dxfId="250" priority="376" operator="equal">
      <formula>5</formula>
    </cfRule>
  </conditionalFormatting>
  <conditionalFormatting sqref="G443">
    <cfRule type="cellIs" dxfId="249" priority="375" operator="equal">
      <formula>1</formula>
    </cfRule>
    <cfRule type="cellIs" dxfId="248" priority="374" operator="equal">
      <formula>2</formula>
    </cfRule>
    <cfRule type="cellIs" dxfId="247" priority="373" operator="equal">
      <formula>3</formula>
    </cfRule>
    <cfRule type="cellIs" dxfId="246" priority="372" operator="equal">
      <formula>4</formula>
    </cfRule>
    <cfRule type="cellIs" dxfId="245" priority="371" operator="equal">
      <formula>5</formula>
    </cfRule>
  </conditionalFormatting>
  <conditionalFormatting sqref="G445 G447">
    <cfRule type="cellIs" dxfId="244" priority="365" operator="equal">
      <formula>1</formula>
    </cfRule>
    <cfRule type="cellIs" dxfId="243" priority="364" operator="equal">
      <formula>2</formula>
    </cfRule>
    <cfRule type="cellIs" dxfId="242" priority="363" operator="equal">
      <formula>3</formula>
    </cfRule>
    <cfRule type="cellIs" dxfId="241" priority="362" operator="equal">
      <formula>4</formula>
    </cfRule>
    <cfRule type="cellIs" dxfId="240" priority="361" operator="equal">
      <formula>5</formula>
    </cfRule>
  </conditionalFormatting>
  <conditionalFormatting sqref="G451">
    <cfRule type="cellIs" dxfId="239" priority="360" operator="equal">
      <formula>1</formula>
    </cfRule>
    <cfRule type="cellIs" dxfId="238" priority="359" operator="equal">
      <formula>2</formula>
    </cfRule>
    <cfRule type="cellIs" dxfId="237" priority="357" operator="equal">
      <formula>4</formula>
    </cfRule>
    <cfRule type="cellIs" dxfId="236" priority="356" operator="equal">
      <formula>5</formula>
    </cfRule>
    <cfRule type="cellIs" dxfId="235" priority="358" operator="equal">
      <formula>3</formula>
    </cfRule>
  </conditionalFormatting>
  <conditionalFormatting sqref="G453 G455">
    <cfRule type="cellIs" dxfId="234" priority="347" operator="equal">
      <formula>4</formula>
    </cfRule>
    <cfRule type="cellIs" dxfId="233" priority="346" operator="equal">
      <formula>5</formula>
    </cfRule>
    <cfRule type="cellIs" dxfId="232" priority="348" operator="equal">
      <formula>3</formula>
    </cfRule>
    <cfRule type="cellIs" dxfId="231" priority="350" operator="equal">
      <formula>1</formula>
    </cfRule>
    <cfRule type="cellIs" dxfId="230" priority="349" operator="equal">
      <formula>2</formula>
    </cfRule>
  </conditionalFormatting>
  <conditionalFormatting sqref="G459 G461 G463 G465">
    <cfRule type="cellIs" dxfId="229" priority="330" operator="equal">
      <formula>1</formula>
    </cfRule>
    <cfRule type="cellIs" dxfId="228" priority="327" operator="equal">
      <formula>4</formula>
    </cfRule>
    <cfRule type="cellIs" dxfId="227" priority="326" operator="equal">
      <formula>5</formula>
    </cfRule>
    <cfRule type="cellIs" dxfId="226" priority="329" operator="equal">
      <formula>2</formula>
    </cfRule>
    <cfRule type="cellIs" dxfId="225" priority="328" operator="equal">
      <formula>3</formula>
    </cfRule>
  </conditionalFormatting>
  <conditionalFormatting sqref="G471 G476 G481 G486">
    <cfRule type="cellIs" dxfId="224" priority="307" operator="equal">
      <formula>4</formula>
    </cfRule>
    <cfRule type="cellIs" dxfId="223" priority="310" operator="equal">
      <formula>1</formula>
    </cfRule>
    <cfRule type="cellIs" dxfId="222" priority="309" operator="equal">
      <formula>2</formula>
    </cfRule>
    <cfRule type="cellIs" dxfId="221" priority="308" operator="equal">
      <formula>3</formula>
    </cfRule>
    <cfRule type="cellIs" dxfId="220" priority="306" operator="equal">
      <formula>5</formula>
    </cfRule>
  </conditionalFormatting>
  <conditionalFormatting sqref="G497:G499">
    <cfRule type="cellIs" dxfId="219" priority="295" operator="equal">
      <formula>1</formula>
    </cfRule>
    <cfRule type="cellIs" dxfId="218" priority="294" operator="equal">
      <formula>2</formula>
    </cfRule>
    <cfRule type="cellIs" dxfId="217" priority="293" operator="equal">
      <formula>3</formula>
    </cfRule>
    <cfRule type="cellIs" dxfId="216" priority="292" operator="equal">
      <formula>4</formula>
    </cfRule>
    <cfRule type="cellIs" dxfId="215" priority="291" operator="equal">
      <formula>5</formula>
    </cfRule>
  </conditionalFormatting>
  <conditionalFormatting sqref="G504">
    <cfRule type="cellIs" dxfId="214" priority="286" operator="equal">
      <formula>5</formula>
    </cfRule>
    <cfRule type="cellIs" dxfId="213" priority="287" operator="equal">
      <formula>4</formula>
    </cfRule>
    <cfRule type="cellIs" dxfId="212" priority="288" operator="equal">
      <formula>3</formula>
    </cfRule>
    <cfRule type="cellIs" dxfId="211" priority="290" operator="equal">
      <formula>1</formula>
    </cfRule>
    <cfRule type="cellIs" dxfId="210" priority="289" operator="equal">
      <formula>2</formula>
    </cfRule>
  </conditionalFormatting>
  <conditionalFormatting sqref="G508">
    <cfRule type="cellIs" dxfId="209" priority="282" operator="equal">
      <formula>4</formula>
    </cfRule>
    <cfRule type="cellIs" dxfId="208" priority="281" operator="equal">
      <formula>5</formula>
    </cfRule>
    <cfRule type="cellIs" dxfId="207" priority="283" operator="equal">
      <formula>3</formula>
    </cfRule>
    <cfRule type="cellIs" dxfId="206" priority="284" operator="equal">
      <formula>2</formula>
    </cfRule>
    <cfRule type="cellIs" dxfId="205" priority="285" operator="equal">
      <formula>1</formula>
    </cfRule>
  </conditionalFormatting>
  <conditionalFormatting sqref="G512">
    <cfRule type="cellIs" dxfId="204" priority="280" operator="equal">
      <formula>1</formula>
    </cfRule>
    <cfRule type="cellIs" dxfId="203" priority="279" operator="equal">
      <formula>2</formula>
    </cfRule>
    <cfRule type="cellIs" dxfId="202" priority="278" operator="equal">
      <formula>3</formula>
    </cfRule>
    <cfRule type="cellIs" dxfId="201" priority="277" operator="equal">
      <formula>4</formula>
    </cfRule>
    <cfRule type="cellIs" dxfId="200" priority="276" operator="equal">
      <formula>5</formula>
    </cfRule>
  </conditionalFormatting>
  <conditionalFormatting sqref="G516">
    <cfRule type="cellIs" dxfId="199" priority="275" operator="equal">
      <formula>1</formula>
    </cfRule>
    <cfRule type="cellIs" dxfId="198" priority="274" operator="equal">
      <formula>2</formula>
    </cfRule>
    <cfRule type="cellIs" dxfId="197" priority="272" operator="equal">
      <formula>4</formula>
    </cfRule>
    <cfRule type="cellIs" dxfId="196" priority="271" operator="equal">
      <formula>5</formula>
    </cfRule>
    <cfRule type="cellIs" dxfId="195" priority="273" operator="equal">
      <formula>3</formula>
    </cfRule>
  </conditionalFormatting>
  <conditionalFormatting sqref="G520:G524">
    <cfRule type="cellIs" dxfId="194" priority="270" operator="equal">
      <formula>1</formula>
    </cfRule>
    <cfRule type="cellIs" dxfId="193" priority="269" operator="equal">
      <formula>2</formula>
    </cfRule>
    <cfRule type="cellIs" dxfId="192" priority="268" operator="equal">
      <formula>3</formula>
    </cfRule>
    <cfRule type="cellIs" dxfId="191" priority="267" operator="equal">
      <formula>4</formula>
    </cfRule>
    <cfRule type="cellIs" dxfId="190" priority="266" operator="equal">
      <formula>5</formula>
    </cfRule>
  </conditionalFormatting>
  <conditionalFormatting sqref="G527:G529">
    <cfRule type="cellIs" dxfId="189" priority="255" operator="equal">
      <formula>1</formula>
    </cfRule>
    <cfRule type="cellIs" dxfId="188" priority="254" operator="equal">
      <formula>2</formula>
    </cfRule>
    <cfRule type="cellIs" dxfId="187" priority="253" operator="equal">
      <formula>3</formula>
    </cfRule>
    <cfRule type="cellIs" dxfId="186" priority="252" operator="equal">
      <formula>4</formula>
    </cfRule>
    <cfRule type="cellIs" dxfId="185" priority="251" operator="equal">
      <formula>5</formula>
    </cfRule>
  </conditionalFormatting>
  <conditionalFormatting sqref="G531:G532">
    <cfRule type="cellIs" dxfId="184" priority="245" operator="equal">
      <formula>1</formula>
    </cfRule>
    <cfRule type="cellIs" dxfId="183" priority="241" operator="equal">
      <formula>5</formula>
    </cfRule>
    <cfRule type="cellIs" dxfId="182" priority="242" operator="equal">
      <formula>4</formula>
    </cfRule>
    <cfRule type="cellIs" dxfId="181" priority="243" operator="equal">
      <formula>3</formula>
    </cfRule>
    <cfRule type="cellIs" dxfId="180" priority="244" operator="equal">
      <formula>2</formula>
    </cfRule>
  </conditionalFormatting>
  <conditionalFormatting sqref="G535">
    <cfRule type="cellIs" dxfId="179" priority="236" operator="equal">
      <formula>5</formula>
    </cfRule>
    <cfRule type="cellIs" dxfId="178" priority="237" operator="equal">
      <formula>4</formula>
    </cfRule>
    <cfRule type="cellIs" dxfId="177" priority="238" operator="equal">
      <formula>3</formula>
    </cfRule>
    <cfRule type="cellIs" dxfId="176" priority="239" operator="equal">
      <formula>2</formula>
    </cfRule>
    <cfRule type="cellIs" dxfId="175" priority="240" operator="equal">
      <formula>1</formula>
    </cfRule>
  </conditionalFormatting>
  <conditionalFormatting sqref="G537">
    <cfRule type="cellIs" dxfId="174" priority="234" operator="equal">
      <formula>2</formula>
    </cfRule>
    <cfRule type="cellIs" dxfId="173" priority="233" operator="equal">
      <formula>3</formula>
    </cfRule>
    <cfRule type="cellIs" dxfId="172" priority="232" operator="equal">
      <formula>4</formula>
    </cfRule>
    <cfRule type="cellIs" dxfId="171" priority="231" operator="equal">
      <formula>5</formula>
    </cfRule>
    <cfRule type="cellIs" dxfId="170" priority="235" operator="equal">
      <formula>1</formula>
    </cfRule>
  </conditionalFormatting>
  <conditionalFormatting sqref="G539">
    <cfRule type="cellIs" dxfId="169" priority="230" operator="equal">
      <formula>1</formula>
    </cfRule>
    <cfRule type="cellIs" dxfId="168" priority="229" operator="equal">
      <formula>2</formula>
    </cfRule>
    <cfRule type="cellIs" dxfId="167" priority="228" operator="equal">
      <formula>3</formula>
    </cfRule>
    <cfRule type="cellIs" dxfId="166" priority="227" operator="equal">
      <formula>4</formula>
    </cfRule>
    <cfRule type="cellIs" dxfId="165" priority="226" operator="equal">
      <formula>5</formula>
    </cfRule>
  </conditionalFormatting>
  <conditionalFormatting sqref="G541">
    <cfRule type="cellIs" dxfId="164" priority="225" operator="equal">
      <formula>1</formula>
    </cfRule>
    <cfRule type="cellIs" dxfId="163" priority="224" operator="equal">
      <formula>2</formula>
    </cfRule>
    <cfRule type="cellIs" dxfId="162" priority="223" operator="equal">
      <formula>3</formula>
    </cfRule>
    <cfRule type="cellIs" dxfId="161" priority="222" operator="equal">
      <formula>4</formula>
    </cfRule>
    <cfRule type="cellIs" dxfId="160" priority="221" operator="equal">
      <formula>5</formula>
    </cfRule>
  </conditionalFormatting>
  <conditionalFormatting sqref="G543">
    <cfRule type="cellIs" dxfId="159" priority="218" operator="equal">
      <formula>3</formula>
    </cfRule>
    <cfRule type="cellIs" dxfId="158" priority="217" operator="equal">
      <formula>4</formula>
    </cfRule>
    <cfRule type="cellIs" dxfId="157" priority="216" operator="equal">
      <formula>5</formula>
    </cfRule>
    <cfRule type="cellIs" dxfId="156" priority="219" operator="equal">
      <formula>2</formula>
    </cfRule>
    <cfRule type="cellIs" dxfId="155" priority="220" operator="equal">
      <formula>1</formula>
    </cfRule>
  </conditionalFormatting>
  <conditionalFormatting sqref="G547">
    <cfRule type="cellIs" dxfId="154" priority="215" operator="equal">
      <formula>1</formula>
    </cfRule>
    <cfRule type="cellIs" dxfId="153" priority="214" operator="equal">
      <formula>2</formula>
    </cfRule>
    <cfRule type="cellIs" dxfId="152" priority="213" operator="equal">
      <formula>3</formula>
    </cfRule>
    <cfRule type="cellIs" dxfId="151" priority="212" operator="equal">
      <formula>4</formula>
    </cfRule>
    <cfRule type="cellIs" dxfId="150" priority="211" operator="equal">
      <formula>5</formula>
    </cfRule>
  </conditionalFormatting>
  <conditionalFormatting sqref="G549">
    <cfRule type="cellIs" dxfId="149" priority="210" operator="equal">
      <formula>1</formula>
    </cfRule>
    <cfRule type="cellIs" dxfId="148" priority="209" operator="equal">
      <formula>2</formula>
    </cfRule>
    <cfRule type="cellIs" dxfId="147" priority="208" operator="equal">
      <formula>3</formula>
    </cfRule>
    <cfRule type="cellIs" dxfId="146" priority="207" operator="equal">
      <formula>4</formula>
    </cfRule>
    <cfRule type="cellIs" dxfId="145" priority="206" operator="equal">
      <formula>5</formula>
    </cfRule>
  </conditionalFormatting>
  <conditionalFormatting sqref="G551">
    <cfRule type="cellIs" dxfId="144" priority="205" operator="equal">
      <formula>1</formula>
    </cfRule>
    <cfRule type="cellIs" dxfId="143" priority="204" operator="equal">
      <formula>2</formula>
    </cfRule>
    <cfRule type="cellIs" dxfId="142" priority="203" operator="equal">
      <formula>3</formula>
    </cfRule>
    <cfRule type="cellIs" dxfId="141" priority="202" operator="equal">
      <formula>4</formula>
    </cfRule>
    <cfRule type="cellIs" dxfId="140" priority="201" operator="equal">
      <formula>5</formula>
    </cfRule>
  </conditionalFormatting>
  <conditionalFormatting sqref="G553">
    <cfRule type="cellIs" dxfId="139" priority="200" operator="equal">
      <formula>1</formula>
    </cfRule>
    <cfRule type="cellIs" dxfId="138" priority="199" operator="equal">
      <formula>2</formula>
    </cfRule>
    <cfRule type="cellIs" dxfId="137" priority="198" operator="equal">
      <formula>3</formula>
    </cfRule>
    <cfRule type="cellIs" dxfId="136" priority="197" operator="equal">
      <formula>4</formula>
    </cfRule>
    <cfRule type="cellIs" dxfId="135" priority="196" operator="equal">
      <formula>5</formula>
    </cfRule>
  </conditionalFormatting>
  <conditionalFormatting sqref="G555">
    <cfRule type="cellIs" dxfId="134" priority="195" operator="equal">
      <formula>1</formula>
    </cfRule>
    <cfRule type="cellIs" dxfId="133" priority="194" operator="equal">
      <formula>2</formula>
    </cfRule>
    <cfRule type="cellIs" dxfId="132" priority="193" operator="equal">
      <formula>3</formula>
    </cfRule>
    <cfRule type="cellIs" dxfId="131" priority="192" operator="equal">
      <formula>4</formula>
    </cfRule>
    <cfRule type="cellIs" dxfId="130" priority="191" operator="equal">
      <formula>5</formula>
    </cfRule>
  </conditionalFormatting>
  <conditionalFormatting sqref="G557">
    <cfRule type="cellIs" dxfId="129" priority="190" operator="equal">
      <formula>1</formula>
    </cfRule>
    <cfRule type="cellIs" dxfId="128" priority="189" operator="equal">
      <formula>2</formula>
    </cfRule>
    <cfRule type="cellIs" dxfId="127" priority="188" operator="equal">
      <formula>3</formula>
    </cfRule>
    <cfRule type="cellIs" dxfId="126" priority="186" operator="equal">
      <formula>5</formula>
    </cfRule>
    <cfRule type="cellIs" dxfId="125" priority="187" operator="equal">
      <formula>4</formula>
    </cfRule>
  </conditionalFormatting>
  <conditionalFormatting sqref="G559">
    <cfRule type="cellIs" dxfId="124" priority="185" operator="equal">
      <formula>1</formula>
    </cfRule>
    <cfRule type="cellIs" dxfId="123" priority="184" operator="equal">
      <formula>2</formula>
    </cfRule>
    <cfRule type="cellIs" dxfId="122" priority="183" operator="equal">
      <formula>3</formula>
    </cfRule>
    <cfRule type="cellIs" dxfId="121" priority="182" operator="equal">
      <formula>4</formula>
    </cfRule>
    <cfRule type="cellIs" dxfId="120" priority="181" operator="equal">
      <formula>5</formula>
    </cfRule>
  </conditionalFormatting>
  <conditionalFormatting sqref="G562">
    <cfRule type="cellIs" dxfId="119" priority="180" operator="equal">
      <formula>1</formula>
    </cfRule>
    <cfRule type="cellIs" dxfId="118" priority="179" operator="equal">
      <formula>2</formula>
    </cfRule>
    <cfRule type="cellIs" dxfId="117" priority="178" operator="equal">
      <formula>3</formula>
    </cfRule>
    <cfRule type="cellIs" dxfId="116" priority="177" operator="equal">
      <formula>4</formula>
    </cfRule>
    <cfRule type="cellIs" dxfId="115" priority="176" operator="equal">
      <formula>5</formula>
    </cfRule>
  </conditionalFormatting>
  <conditionalFormatting sqref="G564">
    <cfRule type="cellIs" dxfId="114" priority="173" operator="equal">
      <formula>3</formula>
    </cfRule>
    <cfRule type="cellIs" dxfId="113" priority="172" operator="equal">
      <formula>4</formula>
    </cfRule>
    <cfRule type="cellIs" dxfId="112" priority="171" operator="equal">
      <formula>5</formula>
    </cfRule>
    <cfRule type="cellIs" dxfId="111" priority="174" operator="equal">
      <formula>2</formula>
    </cfRule>
    <cfRule type="cellIs" dxfId="110" priority="175" operator="equal">
      <formula>1</formula>
    </cfRule>
  </conditionalFormatting>
  <conditionalFormatting sqref="G566">
    <cfRule type="cellIs" dxfId="109" priority="170" operator="equal">
      <formula>1</formula>
    </cfRule>
    <cfRule type="cellIs" dxfId="108" priority="169" operator="equal">
      <formula>2</formula>
    </cfRule>
    <cfRule type="cellIs" dxfId="107" priority="168" operator="equal">
      <formula>3</formula>
    </cfRule>
    <cfRule type="cellIs" dxfId="106" priority="167" operator="equal">
      <formula>4</formula>
    </cfRule>
    <cfRule type="cellIs" dxfId="105" priority="166" operator="equal">
      <formula>5</formula>
    </cfRule>
  </conditionalFormatting>
  <conditionalFormatting sqref="G568">
    <cfRule type="cellIs" dxfId="104" priority="161" operator="equal">
      <formula>5</formula>
    </cfRule>
    <cfRule type="cellIs" dxfId="103" priority="162" operator="equal">
      <formula>4</formula>
    </cfRule>
    <cfRule type="cellIs" dxfId="102" priority="164" operator="equal">
      <formula>2</formula>
    </cfRule>
    <cfRule type="cellIs" dxfId="101" priority="165" operator="equal">
      <formula>1</formula>
    </cfRule>
    <cfRule type="cellIs" dxfId="100" priority="163" operator="equal">
      <formula>3</formula>
    </cfRule>
  </conditionalFormatting>
  <conditionalFormatting sqref="G572:G574">
    <cfRule type="cellIs" dxfId="99" priority="150" operator="equal">
      <formula>1</formula>
    </cfRule>
    <cfRule type="cellIs" dxfId="98" priority="146" operator="equal">
      <formula>5</formula>
    </cfRule>
    <cfRule type="cellIs" dxfId="97" priority="147" operator="equal">
      <formula>4</formula>
    </cfRule>
    <cfRule type="cellIs" dxfId="96" priority="148" operator="equal">
      <formula>3</formula>
    </cfRule>
    <cfRule type="cellIs" dxfId="95" priority="149" operator="equal">
      <formula>2</formula>
    </cfRule>
  </conditionalFormatting>
  <conditionalFormatting sqref="G576:G577">
    <cfRule type="cellIs" dxfId="94" priority="140" operator="equal">
      <formula>1</formula>
    </cfRule>
    <cfRule type="cellIs" dxfId="93" priority="139" operator="equal">
      <formula>2</formula>
    </cfRule>
    <cfRule type="cellIs" dxfId="92" priority="138" operator="equal">
      <formula>3</formula>
    </cfRule>
    <cfRule type="cellIs" dxfId="91" priority="137" operator="equal">
      <formula>4</formula>
    </cfRule>
    <cfRule type="cellIs" dxfId="90" priority="136" operator="equal">
      <formula>5</formula>
    </cfRule>
  </conditionalFormatting>
  <conditionalFormatting sqref="G581">
    <cfRule type="cellIs" dxfId="89" priority="135" operator="equal">
      <formula>1</formula>
    </cfRule>
    <cfRule type="cellIs" dxfId="88" priority="134" operator="equal">
      <formula>2</formula>
    </cfRule>
    <cfRule type="cellIs" dxfId="87" priority="132" operator="equal">
      <formula>4</formula>
    </cfRule>
    <cfRule type="cellIs" dxfId="86" priority="131" operator="equal">
      <formula>5</formula>
    </cfRule>
    <cfRule type="cellIs" dxfId="85" priority="133" operator="equal">
      <formula>3</formula>
    </cfRule>
  </conditionalFormatting>
  <conditionalFormatting sqref="G584">
    <cfRule type="cellIs" dxfId="84" priority="130" operator="equal">
      <formula>1</formula>
    </cfRule>
    <cfRule type="cellIs" dxfId="83" priority="129" operator="equal">
      <formula>2</formula>
    </cfRule>
    <cfRule type="cellIs" dxfId="82" priority="128" operator="equal">
      <formula>3</formula>
    </cfRule>
    <cfRule type="cellIs" dxfId="81" priority="127" operator="equal">
      <formula>4</formula>
    </cfRule>
    <cfRule type="cellIs" dxfId="80" priority="126" operator="equal">
      <formula>5</formula>
    </cfRule>
  </conditionalFormatting>
  <conditionalFormatting sqref="G587">
    <cfRule type="cellIs" dxfId="79" priority="125" operator="equal">
      <formula>1</formula>
    </cfRule>
    <cfRule type="cellIs" dxfId="78" priority="124" operator="equal">
      <formula>2</formula>
    </cfRule>
    <cfRule type="cellIs" dxfId="77" priority="123" operator="equal">
      <formula>3</formula>
    </cfRule>
    <cfRule type="cellIs" dxfId="76" priority="122" operator="equal">
      <formula>4</formula>
    </cfRule>
    <cfRule type="cellIs" dxfId="75" priority="121" operator="equal">
      <formula>5</formula>
    </cfRule>
  </conditionalFormatting>
  <conditionalFormatting sqref="G591">
    <cfRule type="cellIs" dxfId="74" priority="120" operator="equal">
      <formula>1</formula>
    </cfRule>
    <cfRule type="cellIs" dxfId="73" priority="116" operator="equal">
      <formula>5</formula>
    </cfRule>
    <cfRule type="cellIs" dxfId="72" priority="117" operator="equal">
      <formula>4</formula>
    </cfRule>
    <cfRule type="cellIs" dxfId="71" priority="118" operator="equal">
      <formula>3</formula>
    </cfRule>
    <cfRule type="cellIs" dxfId="70" priority="119" operator="equal">
      <formula>2</formula>
    </cfRule>
  </conditionalFormatting>
  <conditionalFormatting sqref="G593">
    <cfRule type="cellIs" dxfId="69" priority="111" operator="equal">
      <formula>5</formula>
    </cfRule>
    <cfRule type="cellIs" dxfId="68" priority="112" operator="equal">
      <formula>4</formula>
    </cfRule>
    <cfRule type="cellIs" dxfId="67" priority="113" operator="equal">
      <formula>3</formula>
    </cfRule>
    <cfRule type="cellIs" dxfId="66" priority="114" operator="equal">
      <formula>2</formula>
    </cfRule>
    <cfRule type="cellIs" dxfId="65" priority="115" operator="equal">
      <formula>1</formula>
    </cfRule>
  </conditionalFormatting>
  <conditionalFormatting sqref="G595:G597">
    <cfRule type="cellIs" dxfId="64" priority="99" operator="equal">
      <formula>2</formula>
    </cfRule>
    <cfRule type="cellIs" dxfId="63" priority="97" operator="equal">
      <formula>4</formula>
    </cfRule>
    <cfRule type="cellIs" dxfId="62" priority="96" operator="equal">
      <formula>5</formula>
    </cfRule>
    <cfRule type="cellIs" dxfId="61" priority="98" operator="equal">
      <formula>3</formula>
    </cfRule>
    <cfRule type="cellIs" dxfId="60" priority="100" operator="equal">
      <formula>1</formula>
    </cfRule>
  </conditionalFormatting>
  <conditionalFormatting sqref="G601">
    <cfRule type="cellIs" dxfId="59" priority="76" operator="equal">
      <formula>5</formula>
    </cfRule>
    <cfRule type="cellIs" dxfId="58" priority="80" operator="equal">
      <formula>1</formula>
    </cfRule>
    <cfRule type="cellIs" dxfId="57" priority="78" operator="equal">
      <formula>3</formula>
    </cfRule>
    <cfRule type="cellIs" dxfId="56" priority="77" operator="equal">
      <formula>4</formula>
    </cfRule>
    <cfRule type="cellIs" dxfId="55" priority="79" operator="equal">
      <formula>2</formula>
    </cfRule>
  </conditionalFormatting>
  <conditionalFormatting sqref="G603">
    <cfRule type="cellIs" dxfId="54" priority="75" operator="equal">
      <formula>1</formula>
    </cfRule>
    <cfRule type="cellIs" dxfId="53" priority="74" operator="equal">
      <formula>2</formula>
    </cfRule>
    <cfRule type="cellIs" dxfId="52" priority="72" operator="equal">
      <formula>4</formula>
    </cfRule>
    <cfRule type="cellIs" dxfId="51" priority="71" operator="equal">
      <formula>5</formula>
    </cfRule>
    <cfRule type="cellIs" dxfId="50" priority="73" operator="equal">
      <formula>3</formula>
    </cfRule>
  </conditionalFormatting>
  <conditionalFormatting sqref="G605">
    <cfRule type="cellIs" dxfId="49" priority="67" operator="equal">
      <formula>4</formula>
    </cfRule>
    <cfRule type="cellIs" dxfId="48" priority="66" operator="equal">
      <formula>5</formula>
    </cfRule>
    <cfRule type="cellIs" dxfId="47" priority="70" operator="equal">
      <formula>1</formula>
    </cfRule>
    <cfRule type="cellIs" dxfId="46" priority="68" operator="equal">
      <formula>3</formula>
    </cfRule>
    <cfRule type="cellIs" dxfId="45" priority="69" operator="equal">
      <formula>2</formula>
    </cfRule>
  </conditionalFormatting>
  <conditionalFormatting sqref="G607">
    <cfRule type="cellIs" dxfId="44" priority="65" operator="equal">
      <formula>1</formula>
    </cfRule>
    <cfRule type="cellIs" dxfId="43" priority="64" operator="equal">
      <formula>2</formula>
    </cfRule>
    <cfRule type="cellIs" dxfId="42" priority="62" operator="equal">
      <formula>4</formula>
    </cfRule>
    <cfRule type="cellIs" dxfId="41" priority="61" operator="equal">
      <formula>5</formula>
    </cfRule>
    <cfRule type="cellIs" dxfId="40" priority="63" operator="equal">
      <formula>3</formula>
    </cfRule>
  </conditionalFormatting>
  <conditionalFormatting sqref="G611:G614">
    <cfRule type="cellIs" dxfId="39" priority="44" operator="equal">
      <formula>2</formula>
    </cfRule>
    <cfRule type="cellIs" dxfId="38" priority="43" operator="equal">
      <formula>3</formula>
    </cfRule>
    <cfRule type="cellIs" dxfId="37" priority="42" operator="equal">
      <formula>4</formula>
    </cfRule>
    <cfRule type="cellIs" dxfId="36" priority="41" operator="equal">
      <formula>5</formula>
    </cfRule>
    <cfRule type="cellIs" dxfId="35" priority="45" operator="equal">
      <formula>1</formula>
    </cfRule>
  </conditionalFormatting>
  <conditionalFormatting sqref="G617:G622">
    <cfRule type="cellIs" dxfId="34" priority="5" operator="equal">
      <formula>1</formula>
    </cfRule>
    <cfRule type="cellIs" dxfId="33" priority="4" operator="equal">
      <formula>2</formula>
    </cfRule>
    <cfRule type="cellIs" dxfId="32" priority="3" operator="equal">
      <formula>3</formula>
    </cfRule>
    <cfRule type="cellIs" dxfId="31" priority="2" operator="equal">
      <formula>4</formula>
    </cfRule>
    <cfRule type="cellIs" dxfId="30" priority="1" operator="equal">
      <formula>5</formula>
    </cfRule>
  </conditionalFormatting>
  <conditionalFormatting sqref="G624">
    <cfRule type="cellIs" dxfId="29" priority="11" operator="equal">
      <formula>5</formula>
    </cfRule>
    <cfRule type="cellIs" dxfId="28" priority="14" operator="equal">
      <formula>2</formula>
    </cfRule>
    <cfRule type="cellIs" dxfId="27" priority="13" operator="equal">
      <formula>3</formula>
    </cfRule>
    <cfRule type="cellIs" dxfId="26" priority="12" operator="equal">
      <formula>4</formula>
    </cfRule>
    <cfRule type="cellIs" dxfId="25" priority="15" operator="equal">
      <formula>1</formula>
    </cfRule>
  </conditionalFormatting>
  <conditionalFormatting sqref="G626">
    <cfRule type="cellIs" dxfId="24" priority="10" operator="equal">
      <formula>1</formula>
    </cfRule>
    <cfRule type="cellIs" dxfId="23" priority="9" operator="equal">
      <formula>2</formula>
    </cfRule>
    <cfRule type="cellIs" dxfId="22" priority="8" operator="equal">
      <formula>3</formula>
    </cfRule>
    <cfRule type="cellIs" dxfId="21" priority="7" operator="equal">
      <formula>4</formula>
    </cfRule>
    <cfRule type="cellIs" dxfId="20" priority="6" operator="equal">
      <formula>5</formula>
    </cfRule>
  </conditionalFormatting>
  <pageMargins left="0.7" right="0.7" top="0.75" bottom="0.75" header="0.3" footer="0.3"/>
  <pageSetup paperSize="9" orientation="portrait" r:id="rId1"/>
  <ignoredErrors>
    <ignoredError sqref="H91" formula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90D84-7C9C-41A2-B506-8A4010B9BA53}">
  <dimension ref="A1:CK160"/>
  <sheetViews>
    <sheetView workbookViewId="0">
      <pane ySplit="1" topLeftCell="A2" activePane="bottomLeft" state="frozen"/>
      <selection pane="bottomLeft" activeCell="A2" sqref="A2"/>
    </sheetView>
  </sheetViews>
  <sheetFormatPr defaultColWidth="9.140625" defaultRowHeight="14.25"/>
  <cols>
    <col min="1" max="1" width="24" style="36" bestFit="1" customWidth="1"/>
    <col min="2" max="6" width="9.28515625" style="36" bestFit="1" customWidth="1"/>
    <col min="7" max="7" width="35.28515625" style="36" bestFit="1" customWidth="1"/>
    <col min="8" max="8" width="35" style="36" bestFit="1" customWidth="1"/>
    <col min="9" max="9" width="29.140625" style="36" bestFit="1" customWidth="1"/>
    <col min="10" max="11" width="9.140625" style="36"/>
    <col min="12" max="12" width="24" style="36" bestFit="1" customWidth="1"/>
    <col min="13" max="17" width="8.7109375" style="36" bestFit="1" customWidth="1"/>
    <col min="18" max="18" width="14" style="36" bestFit="1" customWidth="1"/>
    <col min="19" max="19" width="7.28515625" style="36" bestFit="1" customWidth="1"/>
    <col min="20" max="20" width="21.5703125" style="36" bestFit="1" customWidth="1"/>
    <col min="21" max="21" width="9.140625" style="36" bestFit="1" customWidth="1"/>
    <col min="22" max="22" width="16.28515625" style="36" bestFit="1" customWidth="1"/>
    <col min="23" max="23" width="6.28515625" style="36" bestFit="1" customWidth="1"/>
    <col min="24" max="24" width="9.42578125" style="36" bestFit="1" customWidth="1"/>
    <col min="25" max="25" width="12.85546875" style="36" bestFit="1" customWidth="1"/>
    <col min="26" max="26" width="9.7109375" style="36" bestFit="1" customWidth="1"/>
    <col min="27" max="27" width="20.28515625" style="36" bestFit="1" customWidth="1"/>
    <col min="28" max="28" width="8.28515625" style="36" bestFit="1" customWidth="1"/>
    <col min="29" max="29" width="11.7109375" style="36" bestFit="1" customWidth="1"/>
    <col min="30" max="30" width="12.5703125" style="36" bestFit="1" customWidth="1"/>
    <col min="31" max="31" width="11.28515625" style="36" bestFit="1" customWidth="1"/>
    <col min="32" max="32" width="11.140625" style="36" bestFit="1" customWidth="1"/>
    <col min="33" max="33" width="12.85546875" style="36" bestFit="1" customWidth="1"/>
    <col min="34" max="34" width="11.140625" style="36" bestFit="1" customWidth="1"/>
    <col min="35" max="35" width="17.5703125" style="36" bestFit="1" customWidth="1"/>
    <col min="36" max="36" width="7.85546875" style="36" bestFit="1" customWidth="1"/>
    <col min="37" max="37" width="9.7109375" style="36" bestFit="1" customWidth="1"/>
    <col min="38" max="38" width="11.28515625" style="36" bestFit="1" customWidth="1"/>
    <col min="39" max="39" width="10.5703125" style="36" bestFit="1" customWidth="1"/>
    <col min="40" max="40" width="7.28515625" style="36" bestFit="1" customWidth="1"/>
    <col min="41" max="41" width="12.140625" style="36" bestFit="1" customWidth="1"/>
    <col min="42" max="42" width="7.7109375" style="36" bestFit="1" customWidth="1"/>
    <col min="43" max="43" width="6.85546875" style="36" bestFit="1" customWidth="1"/>
    <col min="44" max="44" width="8.42578125" style="36" bestFit="1" customWidth="1"/>
    <col min="45" max="45" width="3.7109375" style="36" bestFit="1" customWidth="1"/>
    <col min="46" max="46" width="7.85546875" style="36" bestFit="1" customWidth="1"/>
    <col min="47" max="47" width="10.5703125" style="36" bestFit="1" customWidth="1"/>
    <col min="48" max="48" width="6.42578125" style="36" bestFit="1" customWidth="1"/>
    <col min="49" max="49" width="10.28515625" style="36" bestFit="1" customWidth="1"/>
    <col min="50" max="50" width="6.85546875" style="36" bestFit="1" customWidth="1"/>
    <col min="51" max="51" width="7.5703125" style="36" bestFit="1" customWidth="1"/>
    <col min="52" max="52" width="8.7109375" style="36" bestFit="1" customWidth="1"/>
    <col min="53" max="53" width="9.7109375" style="36" bestFit="1" customWidth="1"/>
    <col min="54" max="54" width="11.28515625" style="36" bestFit="1" customWidth="1"/>
    <col min="55" max="55" width="10.140625" style="36" bestFit="1" customWidth="1"/>
    <col min="56" max="56" width="18.7109375" style="36" bestFit="1" customWidth="1"/>
    <col min="57" max="57" width="11.140625" style="36" bestFit="1" customWidth="1"/>
    <col min="58" max="58" width="11.28515625" style="36" bestFit="1" customWidth="1"/>
    <col min="59" max="59" width="14.28515625" style="36" bestFit="1" customWidth="1"/>
    <col min="60" max="60" width="12.28515625" style="36" bestFit="1" customWidth="1"/>
    <col min="61" max="61" width="8.140625" style="36" bestFit="1" customWidth="1"/>
    <col min="62" max="62" width="10.28515625" style="36" bestFit="1" customWidth="1"/>
    <col min="63" max="63" width="8.42578125" style="36" bestFit="1" customWidth="1"/>
    <col min="64" max="64" width="11.28515625" style="36" bestFit="1" customWidth="1"/>
    <col min="65" max="65" width="8" style="36" bestFit="1" customWidth="1"/>
    <col min="66" max="66" width="10" style="36" bestFit="1" customWidth="1"/>
    <col min="67" max="67" width="7" style="36" bestFit="1" customWidth="1"/>
    <col min="68" max="68" width="8.85546875" style="36" bestFit="1" customWidth="1"/>
    <col min="69" max="69" width="13.7109375" style="36" bestFit="1" customWidth="1"/>
    <col min="70" max="70" width="8.28515625" style="36" bestFit="1" customWidth="1"/>
    <col min="71" max="71" width="6" style="36" bestFit="1" customWidth="1"/>
    <col min="72" max="72" width="20.42578125" style="36" bestFit="1" customWidth="1"/>
    <col min="73" max="73" width="15" style="36" bestFit="1" customWidth="1"/>
    <col min="74" max="74" width="19.140625" style="36" bestFit="1" customWidth="1"/>
    <col min="75" max="75" width="21.7109375" style="36" bestFit="1" customWidth="1"/>
    <col min="76" max="76" width="10" style="36" bestFit="1" customWidth="1"/>
    <col min="77" max="77" width="13.7109375" style="36" bestFit="1" customWidth="1"/>
    <col min="78" max="78" width="11.28515625" style="36" bestFit="1" customWidth="1"/>
    <col min="79" max="79" width="8" style="36" bestFit="1" customWidth="1"/>
    <col min="80" max="80" width="7.85546875" style="36" bestFit="1" customWidth="1"/>
    <col min="81" max="81" width="5.5703125" style="36" bestFit="1" customWidth="1"/>
    <col min="82" max="82" width="7.28515625" style="36" bestFit="1" customWidth="1"/>
    <col min="83" max="83" width="8.5703125" style="36" bestFit="1" customWidth="1"/>
    <col min="84" max="84" width="7" style="36" bestFit="1" customWidth="1"/>
    <col min="85" max="85" width="8.7109375" style="36" bestFit="1" customWidth="1"/>
    <col min="86" max="86" width="8" style="36" bestFit="1" customWidth="1"/>
    <col min="87" max="87" width="13.7109375" style="36" bestFit="1" customWidth="1"/>
    <col min="88" max="88" width="8.5703125" style="36" bestFit="1" customWidth="1"/>
    <col min="89" max="89" width="10" style="36" bestFit="1" customWidth="1"/>
    <col min="90" max="16384" width="9.140625" style="36"/>
  </cols>
  <sheetData>
    <row r="1" spans="1:89" ht="15">
      <c r="A1" s="101" t="s">
        <v>230</v>
      </c>
      <c r="B1" s="104" t="s">
        <v>299</v>
      </c>
      <c r="C1" s="107" t="s">
        <v>300</v>
      </c>
      <c r="D1" s="105" t="s">
        <v>301</v>
      </c>
      <c r="E1" s="108" t="s">
        <v>302</v>
      </c>
      <c r="F1" s="106" t="s">
        <v>303</v>
      </c>
      <c r="G1" s="83" t="s">
        <v>304</v>
      </c>
      <c r="H1" s="102" t="s">
        <v>305</v>
      </c>
      <c r="I1" s="102" t="s">
        <v>233</v>
      </c>
      <c r="L1"/>
      <c r="M1"/>
    </row>
    <row r="2" spans="1:89" ht="15">
      <c r="A2" s="99" t="s">
        <v>271</v>
      </c>
      <c r="B2" s="126">
        <f>0.000202842950859384*I2</f>
        <v>8.7476022558109351E-2</v>
      </c>
      <c r="C2" s="126">
        <f>0.0307475570987146*I2</f>
        <v>13.259883998820671</v>
      </c>
      <c r="D2" s="126">
        <f>0.0560329982695868*I2</f>
        <v>24.164230503759306</v>
      </c>
      <c r="E2" s="126">
        <f>0.307715428522508*I2</f>
        <v>132.70227855033158</v>
      </c>
      <c r="F2" s="126">
        <f>0.489269081167549*I2</f>
        <v>210.99729125350552</v>
      </c>
      <c r="G2" s="118">
        <f>392190*0.98</f>
        <v>384346.2</v>
      </c>
      <c r="H2" s="111">
        <v>202.5</v>
      </c>
      <c r="I2" s="100">
        <v>431.25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</row>
    <row r="3" spans="1:89" ht="15">
      <c r="A3" s="99" t="s">
        <v>242</v>
      </c>
      <c r="B3" s="125">
        <f>0*I3</f>
        <v>0</v>
      </c>
      <c r="C3" s="127">
        <f>0.135666786463539*I3</f>
        <v>24.161983335583368</v>
      </c>
      <c r="D3" s="127">
        <f>0.0229020659595503*I3</f>
        <v>4.0788121432639892</v>
      </c>
      <c r="E3" s="128">
        <f>0*I3</f>
        <v>0</v>
      </c>
      <c r="F3" s="127">
        <f>0.841191276549646*I3</f>
        <v>149.81448397093885</v>
      </c>
      <c r="G3" s="118">
        <v>49624</v>
      </c>
      <c r="H3" s="111">
        <v>200</v>
      </c>
      <c r="I3" s="100">
        <v>178.09800000000001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</row>
    <row r="4" spans="1:89" ht="15">
      <c r="A4" s="99" t="s">
        <v>289</v>
      </c>
      <c r="B4" s="125">
        <f>0*I4</f>
        <v>0</v>
      </c>
      <c r="C4" s="127">
        <f>0.146441896865785*I4</f>
        <v>72.983712559969916</v>
      </c>
      <c r="D4" s="127">
        <f>0.491891620058179*I4</f>
        <v>245.14894560459524</v>
      </c>
      <c r="E4" s="127">
        <f>0.11145563270616*I4</f>
        <v>55.54725822809602</v>
      </c>
      <c r="F4" s="127">
        <f>0.230892396139028*I4</f>
        <v>115.07215238776878</v>
      </c>
      <c r="G4" s="118">
        <f>194561</f>
        <v>194561</v>
      </c>
      <c r="H4" s="111">
        <v>171.62</v>
      </c>
      <c r="I4" s="100">
        <v>498.38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 ht="15">
      <c r="A5" s="99" t="s">
        <v>293</v>
      </c>
      <c r="B5" s="126">
        <f>0.295296726243333*I5</f>
        <v>80.04608358278027</v>
      </c>
      <c r="C5" s="127">
        <f>0.165373220599284*I5</f>
        <v>44.82771890784791</v>
      </c>
      <c r="D5" s="127">
        <f>0.126631652308148*I5</f>
        <v>34.326041991169674</v>
      </c>
      <c r="E5" s="127">
        <f>0.00661460972883337*I5</f>
        <v>1.7930222591948615</v>
      </c>
      <c r="F5" s="127">
        <f>0.406083790991072*I5</f>
        <v>110.07713322394989</v>
      </c>
      <c r="G5" s="118">
        <f>185357*0.99</f>
        <v>183503.43</v>
      </c>
      <c r="H5" s="111">
        <v>157.1</v>
      </c>
      <c r="I5" s="100">
        <v>271.07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</row>
    <row r="6" spans="1:89" ht="28.5">
      <c r="A6" s="99" t="s">
        <v>137</v>
      </c>
      <c r="B6" s="125">
        <f>0*I6</f>
        <v>0</v>
      </c>
      <c r="C6" s="127">
        <f>0.0696658175221603*I6</f>
        <v>10.730625872938353</v>
      </c>
      <c r="D6" s="127">
        <f>0.248739563699663*I6</f>
        <v>38.313354996659093</v>
      </c>
      <c r="E6" s="128">
        <f>0*I6</f>
        <v>0</v>
      </c>
      <c r="F6" s="127">
        <f>0.681048030309643*I6</f>
        <v>104.90182810859432</v>
      </c>
      <c r="G6" s="118">
        <f>21975*0.9</f>
        <v>19777.5</v>
      </c>
      <c r="H6" s="111">
        <v>216.7</v>
      </c>
      <c r="I6" s="100">
        <v>154.03</v>
      </c>
      <c r="L6" s="112" t="s">
        <v>312</v>
      </c>
      <c r="M6" s="36" t="s">
        <v>307</v>
      </c>
      <c r="N6" s="114" t="s">
        <v>308</v>
      </c>
      <c r="O6" s="115" t="s">
        <v>309</v>
      </c>
      <c r="P6" s="116" t="s">
        <v>310</v>
      </c>
      <c r="Q6" s="117" t="s">
        <v>311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</row>
    <row r="7" spans="1:89" ht="15">
      <c r="A7" s="99" t="s">
        <v>257</v>
      </c>
      <c r="B7" s="125">
        <f>0*I7</f>
        <v>0</v>
      </c>
      <c r="C7" s="128">
        <f>0*I7</f>
        <v>0</v>
      </c>
      <c r="D7" s="127">
        <f>0.115398420912519*I7</f>
        <v>23.406261713686231</v>
      </c>
      <c r="E7" s="128">
        <f>0*I7</f>
        <v>0</v>
      </c>
      <c r="F7" s="127">
        <f>0.390947822480721*I7</f>
        <v>79.295946833764646</v>
      </c>
      <c r="G7" s="118">
        <f>14064*0.78</f>
        <v>10969.92</v>
      </c>
      <c r="H7" s="111">
        <v>152.5</v>
      </c>
      <c r="I7" s="100">
        <v>202.83</v>
      </c>
      <c r="L7" s="36" t="s">
        <v>237</v>
      </c>
      <c r="M7" s="53">
        <v>0</v>
      </c>
      <c r="N7" s="53">
        <v>5.0056223870574055</v>
      </c>
      <c r="O7" s="53">
        <v>0</v>
      </c>
      <c r="P7" s="53">
        <v>0.54437761075064828</v>
      </c>
      <c r="Q7" s="53">
        <v>0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 ht="15">
      <c r="A8" s="99" t="s">
        <v>149</v>
      </c>
      <c r="B8" s="125">
        <f>0*I8</f>
        <v>0</v>
      </c>
      <c r="C8" s="127">
        <f>0.0915961250003115*I8</f>
        <v>13.05885954129441</v>
      </c>
      <c r="D8" s="127">
        <f>0.378560205895543*I8</f>
        <v>53.971328554527567</v>
      </c>
      <c r="E8" s="127">
        <f>0.0000671780041966031*I8</f>
        <v>9.5775680583097024E-3</v>
      </c>
      <c r="F8" s="127">
        <f>0.529776490740029*I8</f>
        <v>75.530234284805928</v>
      </c>
      <c r="G8" s="118">
        <f>9533*0.48</f>
        <v>4575.84</v>
      </c>
      <c r="H8" s="111">
        <v>129.9</v>
      </c>
      <c r="I8" s="100">
        <v>142.57</v>
      </c>
      <c r="L8" s="36" t="s">
        <v>238</v>
      </c>
      <c r="M8" s="53">
        <v>0</v>
      </c>
      <c r="N8" s="53">
        <v>89.093312014120698</v>
      </c>
      <c r="O8" s="53">
        <v>23.469438420322255</v>
      </c>
      <c r="P8" s="53">
        <v>21.447249571952124</v>
      </c>
      <c r="Q8" s="53">
        <v>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 ht="15">
      <c r="A9" s="99" t="s">
        <v>294</v>
      </c>
      <c r="B9" s="128">
        <f>0*I9</f>
        <v>0</v>
      </c>
      <c r="C9" s="127">
        <f>0.166683242774221*I9</f>
        <v>16.398297424127861</v>
      </c>
      <c r="D9" s="127">
        <f>0.26047505519833*I9</f>
        <v>25.625535930411701</v>
      </c>
      <c r="E9" s="128">
        <f>0*I9</f>
        <v>0</v>
      </c>
      <c r="F9" s="127">
        <f>0.572841703610279*I9</f>
        <v>56.356166801179242</v>
      </c>
      <c r="G9" s="118">
        <f>24365</f>
        <v>24365</v>
      </c>
      <c r="H9" s="111">
        <v>149.1</v>
      </c>
      <c r="I9" s="100">
        <v>98.38</v>
      </c>
      <c r="L9" s="36" t="s">
        <v>239</v>
      </c>
      <c r="M9" s="53">
        <v>91.680719129579671</v>
      </c>
      <c r="N9" s="53">
        <v>86.959683015108851</v>
      </c>
      <c r="O9" s="53">
        <v>147.15189529619562</v>
      </c>
      <c r="P9" s="53">
        <v>63.63800554760671</v>
      </c>
      <c r="Q9" s="53">
        <v>0.91787137997432122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</row>
    <row r="10" spans="1:89" ht="15">
      <c r="A10" s="99" t="s">
        <v>275</v>
      </c>
      <c r="B10" s="128">
        <f>0*I10</f>
        <v>0</v>
      </c>
      <c r="C10" s="127">
        <f>0.216470826332918*I10</f>
        <v>107.78731855594987</v>
      </c>
      <c r="D10" s="128">
        <f>0*I10</f>
        <v>0</v>
      </c>
      <c r="E10" s="128">
        <f>0*I10</f>
        <v>0</v>
      </c>
      <c r="F10" s="127">
        <f>0.100117209030158*I10</f>
        <v>49.851361892386571</v>
      </c>
      <c r="G10" s="118">
        <f>4512</f>
        <v>4512</v>
      </c>
      <c r="H10" s="111">
        <v>169.1</v>
      </c>
      <c r="I10" s="100">
        <v>497.93</v>
      </c>
      <c r="L10" s="36" t="s">
        <v>240</v>
      </c>
      <c r="M10" s="53">
        <v>66.876694318948751</v>
      </c>
      <c r="N10" s="53">
        <v>0</v>
      </c>
      <c r="O10" s="53">
        <v>111.25430447464865</v>
      </c>
      <c r="P10" s="53">
        <v>0</v>
      </c>
      <c r="Q10" s="53">
        <v>0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</row>
    <row r="11" spans="1:89" ht="15">
      <c r="A11" s="99" t="s">
        <v>251</v>
      </c>
      <c r="B11" s="127">
        <f>0.00119885958385995*I11</f>
        <v>0.38739948592850421</v>
      </c>
      <c r="C11" s="127">
        <f>0.405243624319843*I11</f>
        <v>130.95042476271408</v>
      </c>
      <c r="D11" s="127">
        <f>0.397903603455406*I11</f>
        <v>128.57857042057989</v>
      </c>
      <c r="E11" s="127">
        <f>0.0369025510115117*I11</f>
        <v>11.924690333859891</v>
      </c>
      <c r="F11" s="127">
        <f>0.150519620298461*I11</f>
        <v>48.638910103244683</v>
      </c>
      <c r="G11" s="118">
        <v>51391</v>
      </c>
      <c r="H11" s="111">
        <v>160.9</v>
      </c>
      <c r="I11" s="100">
        <v>323.14</v>
      </c>
      <c r="L11" s="36" t="s">
        <v>241</v>
      </c>
      <c r="M11" s="53">
        <v>0</v>
      </c>
      <c r="N11" s="53">
        <v>77.581414937201998</v>
      </c>
      <c r="O11" s="53">
        <v>0</v>
      </c>
      <c r="P11" s="53">
        <v>0</v>
      </c>
      <c r="Q11" s="53">
        <v>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89" ht="15">
      <c r="A12" s="99" t="s">
        <v>259</v>
      </c>
      <c r="B12" s="128">
        <f>0*I12</f>
        <v>0</v>
      </c>
      <c r="C12" s="127">
        <f>0.105156966048795*I12</f>
        <v>6.8982969728009511</v>
      </c>
      <c r="D12" s="127">
        <f>0.0719254563344188*I12</f>
        <v>4.7183099355378726</v>
      </c>
      <c r="E12" s="127">
        <f>0.0932371175646525*I12</f>
        <v>6.1163549122412038</v>
      </c>
      <c r="F12" s="127">
        <f>0.72968045939844*I12</f>
        <v>47.867038136537658</v>
      </c>
      <c r="G12" s="118">
        <f>13319*0.72</f>
        <v>9589.68</v>
      </c>
      <c r="H12" s="111">
        <v>207</v>
      </c>
      <c r="I12" s="100">
        <v>65.599999999999994</v>
      </c>
      <c r="L12" s="36" t="s">
        <v>242</v>
      </c>
      <c r="M12" s="53">
        <v>0</v>
      </c>
      <c r="N12" s="53">
        <v>24.161983335583368</v>
      </c>
      <c r="O12" s="53">
        <v>4.0788121432639892</v>
      </c>
      <c r="P12" s="53">
        <v>0</v>
      </c>
      <c r="Q12" s="53">
        <v>149.81448397093885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</row>
    <row r="13" spans="1:89" ht="15">
      <c r="A13" s="99" t="s">
        <v>246</v>
      </c>
      <c r="B13" s="127">
        <f>0.143390127371827*I13</f>
        <v>73.493175883156198</v>
      </c>
      <c r="C13" s="127">
        <f>0.1500638137573*I13</f>
        <v>76.91370710316653</v>
      </c>
      <c r="D13" s="127">
        <f>0.337189119554785*I13</f>
        <v>172.82291133660948</v>
      </c>
      <c r="E13" s="127">
        <f>0.280822182964783*I13</f>
        <v>143.93260165676986</v>
      </c>
      <c r="F13" s="127">
        <f>0.0885347564269074*I13</f>
        <v>45.377604059047115</v>
      </c>
      <c r="G13" s="118">
        <f>156947*0.92</f>
        <v>144391.24000000002</v>
      </c>
      <c r="H13" s="111">
        <v>139.19999999999999</v>
      </c>
      <c r="I13" s="100">
        <v>512.54</v>
      </c>
      <c r="L13" s="36" t="s">
        <v>243</v>
      </c>
      <c r="M13" s="53">
        <v>74.994496064543767</v>
      </c>
      <c r="N13" s="53">
        <v>99.73428938881716</v>
      </c>
      <c r="O13" s="53">
        <v>139.52745568806722</v>
      </c>
      <c r="P13" s="53">
        <v>161.94851429988208</v>
      </c>
      <c r="Q13" s="53">
        <v>1.1941909217444342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 ht="15">
      <c r="A14" s="99" t="s">
        <v>254</v>
      </c>
      <c r="B14" s="128">
        <f>0*I14</f>
        <v>0</v>
      </c>
      <c r="C14" s="128">
        <f>0*I14</f>
        <v>0</v>
      </c>
      <c r="D14" s="127">
        <f>0.485259793009376*I14</f>
        <v>135.33895627031495</v>
      </c>
      <c r="E14" s="127">
        <f>0.18848513865981*I14</f>
        <v>52.568505172221009</v>
      </c>
      <c r="F14" s="127">
        <f>0.161304835520757*I14</f>
        <v>44.987918626739123</v>
      </c>
      <c r="G14" s="118">
        <v>3758</v>
      </c>
      <c r="H14" s="111">
        <v>177.3</v>
      </c>
      <c r="I14" s="100">
        <v>278.89999999999998</v>
      </c>
      <c r="L14" s="36" t="s">
        <v>244</v>
      </c>
      <c r="M14" s="53">
        <v>9.5859484464961035E-4</v>
      </c>
      <c r="N14" s="53">
        <v>14.272630720233099</v>
      </c>
      <c r="O14" s="53">
        <v>16.779856841861925</v>
      </c>
      <c r="P14" s="53">
        <v>76.750691396116025</v>
      </c>
      <c r="Q14" s="53">
        <v>0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</row>
    <row r="15" spans="1:89" ht="15">
      <c r="A15" s="99" t="s">
        <v>279</v>
      </c>
      <c r="B15" s="127">
        <f>0.217373582405484*I15</f>
        <v>31.899573218004775</v>
      </c>
      <c r="C15" s="127">
        <f>0.00582369942032801*I15</f>
        <v>0.85462788993313543</v>
      </c>
      <c r="D15" s="127">
        <f>0.0405140516872663*I15</f>
        <v>5.9454370851063301</v>
      </c>
      <c r="E15" s="127">
        <f>0.448697685531439*I15</f>
        <v>65.846385351738675</v>
      </c>
      <c r="F15" s="127">
        <f>0.287590980962304*I15</f>
        <v>42.203976456218115</v>
      </c>
      <c r="G15" s="118">
        <f>12656*0.86</f>
        <v>10884.16</v>
      </c>
      <c r="H15" s="111">
        <v>134.9</v>
      </c>
      <c r="I15" s="100">
        <v>146.75</v>
      </c>
      <c r="L15" s="36" t="s">
        <v>245</v>
      </c>
      <c r="M15" s="53">
        <v>0</v>
      </c>
      <c r="N15" s="53">
        <v>71.34040295019453</v>
      </c>
      <c r="O15" s="53">
        <v>0</v>
      </c>
      <c r="P15" s="53">
        <v>0</v>
      </c>
      <c r="Q15" s="53">
        <v>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</row>
    <row r="16" spans="1:89" ht="15">
      <c r="A16" s="99" t="s">
        <v>258</v>
      </c>
      <c r="B16" s="128">
        <f t="shared" ref="B16:B22" si="0">0*I16</f>
        <v>0</v>
      </c>
      <c r="C16" s="128">
        <f>0*I16</f>
        <v>0</v>
      </c>
      <c r="D16" s="127">
        <f>0.0854932610074549*I16</f>
        <v>9.4034037782099631</v>
      </c>
      <c r="E16" s="128">
        <f>0*I16</f>
        <v>0</v>
      </c>
      <c r="F16" s="127">
        <f>0.358287021767502*I16</f>
        <v>39.407989524207544</v>
      </c>
      <c r="G16" s="118">
        <v>2819</v>
      </c>
      <c r="H16" s="110">
        <v>0</v>
      </c>
      <c r="I16" s="100">
        <v>109.99</v>
      </c>
      <c r="L16" s="36" t="s">
        <v>246</v>
      </c>
      <c r="M16" s="53">
        <v>73.493175883156198</v>
      </c>
      <c r="N16" s="53">
        <v>76.91370710316653</v>
      </c>
      <c r="O16" s="53">
        <v>172.82291133660948</v>
      </c>
      <c r="P16" s="53">
        <v>143.93260165676986</v>
      </c>
      <c r="Q16" s="53">
        <v>45.377604059047115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89" ht="15">
      <c r="A17" s="99" t="s">
        <v>263</v>
      </c>
      <c r="B17" s="132">
        <f t="shared" si="0"/>
        <v>0</v>
      </c>
      <c r="C17" s="130">
        <f>0.143184630440353*I17</f>
        <v>16.497733119337475</v>
      </c>
      <c r="D17" s="130">
        <f>0.199328343149469*I17</f>
        <v>22.96661169768182</v>
      </c>
      <c r="E17" s="130">
        <f>0.381349519939491*I17</f>
        <v>43.939091687428153</v>
      </c>
      <c r="F17" s="130">
        <f>0.276137506579744*I17</f>
        <v>31.816563508118104</v>
      </c>
      <c r="G17" s="118">
        <f>22287*0.98</f>
        <v>21841.26</v>
      </c>
      <c r="H17" s="111">
        <v>100</v>
      </c>
      <c r="I17" s="100">
        <v>115.22</v>
      </c>
      <c r="L17" s="36" t="s">
        <v>247</v>
      </c>
      <c r="M17" s="53">
        <v>0</v>
      </c>
      <c r="N17" s="53">
        <v>0.86739418486368391</v>
      </c>
      <c r="O17" s="53">
        <v>0</v>
      </c>
      <c r="P17" s="53">
        <v>0</v>
      </c>
      <c r="Q17" s="53">
        <v>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 ht="15">
      <c r="A18" s="99" t="s">
        <v>255</v>
      </c>
      <c r="B18" s="128">
        <f t="shared" si="0"/>
        <v>0</v>
      </c>
      <c r="C18" s="127">
        <f>0.280400633673999*I18</f>
        <v>43.386390048377862</v>
      </c>
      <c r="D18" s="127">
        <f>0.0280348389005695*I18</f>
        <v>4.3378306230851189</v>
      </c>
      <c r="E18" s="127">
        <f>0.489502766583671*I18</f>
        <v>75.740763073491408</v>
      </c>
      <c r="F18" s="127">
        <f>0.202061760923181*I18</f>
        <v>31.265016267643794</v>
      </c>
      <c r="G18" s="118">
        <f>66230*0.97</f>
        <v>64243.1</v>
      </c>
      <c r="H18" s="111">
        <v>288.7</v>
      </c>
      <c r="I18" s="100">
        <v>154.72999999999999</v>
      </c>
      <c r="L18" s="36" t="s">
        <v>248</v>
      </c>
      <c r="M18" s="53">
        <v>8.4475532055892271E-5</v>
      </c>
      <c r="N18" s="53">
        <v>54.942523778907528</v>
      </c>
      <c r="O18" s="53">
        <v>50.135536211069173</v>
      </c>
      <c r="P18" s="53">
        <v>1.5282387260833634</v>
      </c>
      <c r="Q18" s="53">
        <v>10.020361645491498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 ht="15">
      <c r="A19" s="99" t="s">
        <v>284</v>
      </c>
      <c r="B19" s="128">
        <f t="shared" si="0"/>
        <v>0</v>
      </c>
      <c r="C19" s="128">
        <f>0*I19</f>
        <v>0</v>
      </c>
      <c r="D19" s="127">
        <f>0.355322969866033*I19</f>
        <v>38.591627757149844</v>
      </c>
      <c r="E19" s="127">
        <f>0.363196019992381*I19</f>
        <v>39.446719731372497</v>
      </c>
      <c r="F19" s="126">
        <f>0.281481009823344*I19</f>
        <v>30.571652476913393</v>
      </c>
      <c r="G19" s="118">
        <f>44631*0.99</f>
        <v>44184.69</v>
      </c>
      <c r="H19" s="111">
        <v>130.19999999999999</v>
      </c>
      <c r="I19" s="100">
        <v>108.61</v>
      </c>
      <c r="L19" s="36" t="s">
        <v>231</v>
      </c>
      <c r="M19" s="53">
        <v>0</v>
      </c>
      <c r="N19" s="53">
        <v>276.32950756549354</v>
      </c>
      <c r="O19" s="53">
        <v>6.6812767331539398</v>
      </c>
      <c r="P19" s="53">
        <v>216.0065983239536</v>
      </c>
      <c r="Q19" s="53">
        <v>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 ht="15">
      <c r="A20" s="99" t="s">
        <v>276</v>
      </c>
      <c r="B20" s="128">
        <f t="shared" si="0"/>
        <v>0</v>
      </c>
      <c r="C20" s="127">
        <f>0.413745157905635*I20</f>
        <v>55.371514482511138</v>
      </c>
      <c r="D20" s="127">
        <f>0.00229506189045612*I20</f>
        <v>0.30714813279974257</v>
      </c>
      <c r="E20" s="126">
        <f>0.378689541572309*I20</f>
        <v>50.68002134862212</v>
      </c>
      <c r="F20" s="127">
        <f>0.203411696165881*I20</f>
        <v>27.222587297879858</v>
      </c>
      <c r="G20" s="118">
        <f>3307*0.87</f>
        <v>2877.09</v>
      </c>
      <c r="H20" s="111">
        <v>169.1</v>
      </c>
      <c r="I20" s="100">
        <v>133.83000000000001</v>
      </c>
      <c r="L20" s="36" t="s">
        <v>249</v>
      </c>
      <c r="M20" s="53">
        <v>40.139303518218767</v>
      </c>
      <c r="N20" s="53">
        <v>462.64808292411232</v>
      </c>
      <c r="O20" s="53">
        <v>172.20184747824931</v>
      </c>
      <c r="P20" s="53">
        <v>116.72303815155345</v>
      </c>
      <c r="Q20" s="53">
        <v>2.9677279540997445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 ht="15">
      <c r="A21" s="99" t="s">
        <v>274</v>
      </c>
      <c r="B21" s="128">
        <f t="shared" si="0"/>
        <v>0</v>
      </c>
      <c r="C21" s="128">
        <f>0*I21</f>
        <v>0</v>
      </c>
      <c r="D21" s="126">
        <f>0.0395552319837794*I21</f>
        <v>12.665189728886327</v>
      </c>
      <c r="E21" s="128">
        <f>0*I21</f>
        <v>0</v>
      </c>
      <c r="F21" s="127">
        <f>0.0841238622773406*I21</f>
        <v>26.935619462581688</v>
      </c>
      <c r="G21" s="118">
        <f>19701*0.56</f>
        <v>11032.560000000001</v>
      </c>
      <c r="H21" s="111">
        <v>102.8</v>
      </c>
      <c r="I21" s="100">
        <v>320.19</v>
      </c>
      <c r="L21" s="36" t="s">
        <v>250</v>
      </c>
      <c r="M21" s="53">
        <v>41.964297660926924</v>
      </c>
      <c r="N21" s="53">
        <v>0.23092400940293767</v>
      </c>
      <c r="O21" s="53">
        <v>7.8896351900683656E-2</v>
      </c>
      <c r="P21" s="53">
        <v>36.024198291294525</v>
      </c>
      <c r="Q21" s="53">
        <v>5.5924153504375261E-2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89" ht="15">
      <c r="A22" s="99" t="s">
        <v>268</v>
      </c>
      <c r="B22" s="128">
        <f t="shared" si="0"/>
        <v>0</v>
      </c>
      <c r="C22" s="126">
        <f>0.313583342808315*I22</f>
        <v>44.353228006808074</v>
      </c>
      <c r="D22" s="127">
        <f>0.2695408247716*I22</f>
        <v>38.123854255695107</v>
      </c>
      <c r="E22" s="127">
        <f>0.256712099698236*I22</f>
        <v>36.309359381318501</v>
      </c>
      <c r="F22" s="127">
        <f>0.160163732779492*I22</f>
        <v>22.653558364331349</v>
      </c>
      <c r="G22" s="118">
        <f>51211*0.97</f>
        <v>49674.67</v>
      </c>
      <c r="H22" s="111">
        <v>168.3</v>
      </c>
      <c r="I22" s="100">
        <v>141.44</v>
      </c>
      <c r="L22" s="36" t="s">
        <v>251</v>
      </c>
      <c r="M22" s="53">
        <v>0.38739948592850421</v>
      </c>
      <c r="N22" s="53">
        <v>130.95042476271408</v>
      </c>
      <c r="O22" s="53">
        <v>128.57857042057989</v>
      </c>
      <c r="P22" s="53">
        <v>11.924690333859891</v>
      </c>
      <c r="Q22" s="53">
        <v>48.638910103244683</v>
      </c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</row>
    <row r="23" spans="1:89" ht="15">
      <c r="A23" s="99" t="s">
        <v>290</v>
      </c>
      <c r="B23" s="126">
        <f>0.147408572435216*I23</f>
        <v>33.4411087426531</v>
      </c>
      <c r="C23" s="126">
        <f>0.141385838685614*I23</f>
        <v>32.074791364218392</v>
      </c>
      <c r="D23" s="127">
        <f>0.438320994710484*I23</f>
        <v>99.437500860020407</v>
      </c>
      <c r="E23" s="127">
        <f>0.156991994297137*I23</f>
        <v>35.615203826248504</v>
      </c>
      <c r="F23" s="127">
        <f>0.0981256062732213*I23</f>
        <v>22.260775039142985</v>
      </c>
      <c r="G23" s="118">
        <f>32534*0.97</f>
        <v>31557.98</v>
      </c>
      <c r="H23" s="111">
        <v>172.2</v>
      </c>
      <c r="I23" s="100">
        <v>226.86</v>
      </c>
      <c r="L23" s="36" t="s">
        <v>252</v>
      </c>
      <c r="M23" s="53">
        <v>0.9338586644064788</v>
      </c>
      <c r="N23" s="53">
        <v>15.069184809726677</v>
      </c>
      <c r="O23" s="53">
        <v>37.881027589581215</v>
      </c>
      <c r="P23" s="53">
        <v>122.23592894857475</v>
      </c>
      <c r="Q23" s="53">
        <v>0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</row>
    <row r="24" spans="1:89" ht="15">
      <c r="A24" s="99" t="s">
        <v>267</v>
      </c>
      <c r="B24" s="127">
        <f>0.414978440405044*I24</f>
        <v>83.36086910856524</v>
      </c>
      <c r="C24" s="127">
        <f>0.104957652907524*I24</f>
        <v>21.083893316063421</v>
      </c>
      <c r="D24" s="127">
        <f>0.0879483336328178*I24</f>
        <v>17.667061260160441</v>
      </c>
      <c r="E24" s="127">
        <f>0.283912384146567*I24</f>
        <v>57.032319727362378</v>
      </c>
      <c r="F24" s="127">
        <f>0.108203188695947*I24</f>
        <v>21.735856545241834</v>
      </c>
      <c r="G24" s="118">
        <f>53598*0.78</f>
        <v>41806.44</v>
      </c>
      <c r="H24" s="111">
        <v>180.5</v>
      </c>
      <c r="I24" s="100">
        <v>200.88</v>
      </c>
      <c r="L24" s="36" t="s">
        <v>253</v>
      </c>
      <c r="M24" s="53">
        <v>0</v>
      </c>
      <c r="N24" s="53">
        <v>0.38609295909752772</v>
      </c>
      <c r="O24" s="53">
        <v>130.47554098073991</v>
      </c>
      <c r="P24" s="53">
        <v>0.45308573128887258</v>
      </c>
      <c r="Q24" s="53">
        <v>6.0324198736276466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89" ht="15">
      <c r="A25" s="99" t="s">
        <v>146</v>
      </c>
      <c r="B25" s="128">
        <f>0*I25</f>
        <v>0</v>
      </c>
      <c r="C25" s="128">
        <f>0*I25</f>
        <v>0</v>
      </c>
      <c r="D25" s="127">
        <f>0.77440052879378*I25</f>
        <v>98.10880299288398</v>
      </c>
      <c r="E25" s="127">
        <f>0.103775934853792*I25</f>
        <v>13.147373186626908</v>
      </c>
      <c r="F25" s="127">
        <f>0.121823536418783*I25</f>
        <v>15.433823828895619</v>
      </c>
      <c r="G25" s="118">
        <f>6296*0.77</f>
        <v>4847.92</v>
      </c>
      <c r="H25" s="111">
        <v>127.67</v>
      </c>
      <c r="I25" s="100">
        <v>126.69</v>
      </c>
      <c r="L25" s="36" t="s">
        <v>254</v>
      </c>
      <c r="M25" s="53">
        <v>0</v>
      </c>
      <c r="N25" s="53">
        <v>0</v>
      </c>
      <c r="O25" s="53">
        <v>135.33895627031495</v>
      </c>
      <c r="P25" s="53">
        <v>52.568505172221009</v>
      </c>
      <c r="Q25" s="53">
        <v>44.987918626739123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 ht="15">
      <c r="A26" s="99" t="s">
        <v>248</v>
      </c>
      <c r="B26" s="127">
        <f>3.24506499907392E-07*I26</f>
        <v>8.4475532055892271E-5</v>
      </c>
      <c r="C26" s="127">
        <f>0.211057635905453*I26</f>
        <v>54.942523778907528</v>
      </c>
      <c r="D26" s="127">
        <f>0.192591949182042*I26</f>
        <v>50.135536211069173</v>
      </c>
      <c r="E26" s="127">
        <f>0.00587061588077506*I26</f>
        <v>1.5282387260833634</v>
      </c>
      <c r="F26" s="127">
        <f>0.0384924771261966*I26</f>
        <v>10.020361645491498</v>
      </c>
      <c r="G26" s="118">
        <f>37712*0.75</f>
        <v>28284</v>
      </c>
      <c r="H26" s="111">
        <v>155</v>
      </c>
      <c r="I26" s="100">
        <v>260.32</v>
      </c>
      <c r="L26" s="36" t="s">
        <v>255</v>
      </c>
      <c r="M26" s="53">
        <v>0</v>
      </c>
      <c r="N26" s="53">
        <v>43.386390048377862</v>
      </c>
      <c r="O26" s="53">
        <v>4.3378306230851189</v>
      </c>
      <c r="P26" s="53">
        <v>75.740763073491408</v>
      </c>
      <c r="Q26" s="53">
        <v>31.265016267643794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 ht="15">
      <c r="A27" s="99" t="s">
        <v>253</v>
      </c>
      <c r="B27" s="128">
        <f>0*I27</f>
        <v>0</v>
      </c>
      <c r="C27" s="127">
        <f>0.00280427773894195*I27</f>
        <v>0.38609295909752772</v>
      </c>
      <c r="D27" s="127">
        <f>0.947672435943782*I27</f>
        <v>130.47554098073991</v>
      </c>
      <c r="E27" s="127">
        <f>0.00329086091871639*I27</f>
        <v>0.45308573128887258</v>
      </c>
      <c r="F27" s="127">
        <f>0.0438147869961334*I27</f>
        <v>6.0324198736276466</v>
      </c>
      <c r="G27" s="118">
        <f>23032*0.85</f>
        <v>19577.2</v>
      </c>
      <c r="H27" s="111">
        <v>320</v>
      </c>
      <c r="I27" s="100">
        <v>137.68</v>
      </c>
      <c r="L27" s="36" t="s">
        <v>256</v>
      </c>
      <c r="M27" s="53">
        <v>0</v>
      </c>
      <c r="N27" s="53">
        <v>226.0495953313447</v>
      </c>
      <c r="O27" s="53">
        <v>0</v>
      </c>
      <c r="P27" s="53">
        <v>0</v>
      </c>
      <c r="Q27" s="53">
        <v>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 ht="15">
      <c r="A28" s="99" t="s">
        <v>249</v>
      </c>
      <c r="B28" s="127">
        <f>0.050510021037674*I28</f>
        <v>40.139303518218767</v>
      </c>
      <c r="C28" s="127">
        <f>0.582181611370756*I28</f>
        <v>462.64808292411232</v>
      </c>
      <c r="D28" s="127">
        <f>0.216693319925315*I28</f>
        <v>172.20184747824931</v>
      </c>
      <c r="E28" s="127">
        <f>0.146880553369348*I28</f>
        <v>116.72303815155345</v>
      </c>
      <c r="F28" s="127">
        <f>0.00373449432991864*I28</f>
        <v>2.9677279540997445</v>
      </c>
      <c r="G28" s="118">
        <f>1136535*0.98</f>
        <v>1113804.3</v>
      </c>
      <c r="H28" s="111">
        <v>185.65</v>
      </c>
      <c r="I28" s="100">
        <v>794.68</v>
      </c>
      <c r="L28" s="36" t="s">
        <v>257</v>
      </c>
      <c r="M28" s="53">
        <v>0</v>
      </c>
      <c r="N28" s="53">
        <v>0</v>
      </c>
      <c r="O28" s="53">
        <v>23.406261713686231</v>
      </c>
      <c r="P28" s="53">
        <v>0</v>
      </c>
      <c r="Q28" s="53">
        <v>79.295946833764646</v>
      </c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</row>
    <row r="29" spans="1:89" ht="15">
      <c r="A29" s="99" t="s">
        <v>278</v>
      </c>
      <c r="B29" s="128">
        <f>0*I29</f>
        <v>0</v>
      </c>
      <c r="C29" s="127">
        <f>0.307539850715578*I29</f>
        <v>73.981786488139448</v>
      </c>
      <c r="D29" s="127">
        <f>0.684808407918578*I29</f>
        <v>164.73751060889313</v>
      </c>
      <c r="E29" s="128">
        <f>0*I29</f>
        <v>0</v>
      </c>
      <c r="F29" s="127">
        <f>0.00765174118357477*I29</f>
        <v>1.8407028591207466</v>
      </c>
      <c r="G29" s="118">
        <f>55283</f>
        <v>55283</v>
      </c>
      <c r="H29" s="111">
        <v>143.9</v>
      </c>
      <c r="I29" s="100">
        <v>240.56</v>
      </c>
      <c r="L29" s="36" t="s">
        <v>258</v>
      </c>
      <c r="M29" s="53">
        <v>0</v>
      </c>
      <c r="N29" s="53">
        <v>0</v>
      </c>
      <c r="O29" s="53">
        <v>9.4034037782099631</v>
      </c>
      <c r="P29" s="53">
        <v>0</v>
      </c>
      <c r="Q29" s="53">
        <v>39.407989524207544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 ht="15">
      <c r="A30" s="99" t="s">
        <v>272</v>
      </c>
      <c r="B30" s="127">
        <f>0.0514710892778805*I30</f>
        <v>29.910364690269137</v>
      </c>
      <c r="C30" s="127">
        <f>0.139895628784308*I30</f>
        <v>81.294748842849231</v>
      </c>
      <c r="D30" s="127">
        <f>0.643504232002196*I30</f>
        <v>373.94674425879612</v>
      </c>
      <c r="E30" s="127">
        <f>0.161166191279107*I30</f>
        <v>93.65528541420187</v>
      </c>
      <c r="F30" s="127">
        <f>0.00235858398158689*I30</f>
        <v>1.3705967375399577</v>
      </c>
      <c r="G30" s="118">
        <f>288064*0.97</f>
        <v>279422.08000000002</v>
      </c>
      <c r="H30" s="111">
        <v>171</v>
      </c>
      <c r="I30" s="100">
        <v>581.11</v>
      </c>
      <c r="L30" s="36" t="s">
        <v>232</v>
      </c>
      <c r="M30" s="53">
        <v>0</v>
      </c>
      <c r="N30" s="53">
        <v>97.243997835258256</v>
      </c>
      <c r="O30" s="53">
        <v>136.62616154969274</v>
      </c>
      <c r="P30" s="53">
        <v>10.340195334085296</v>
      </c>
      <c r="Q30" s="53">
        <v>2.5783701753566389E-2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</row>
    <row r="31" spans="1:89" ht="15">
      <c r="A31" s="99" t="s">
        <v>243</v>
      </c>
      <c r="B31" s="127">
        <f>0.15674468819008*I31</f>
        <v>74.994496064543767</v>
      </c>
      <c r="C31" s="127">
        <f>0.208452898712127*I31</f>
        <v>99.73428938881716</v>
      </c>
      <c r="D31" s="127">
        <f>0.291623901532171*I31</f>
        <v>139.52745568806722</v>
      </c>
      <c r="E31" s="127">
        <f>0.338485765074474*I31</f>
        <v>161.94851429988208</v>
      </c>
      <c r="F31" s="127">
        <f>0.00249595761677173*I31</f>
        <v>1.1941909217444342</v>
      </c>
      <c r="G31" s="118">
        <f>133785*0.83</f>
        <v>111041.54999999999</v>
      </c>
      <c r="H31" s="111">
        <v>120</v>
      </c>
      <c r="I31" s="100">
        <v>478.45</v>
      </c>
      <c r="L31" s="36" t="s">
        <v>259</v>
      </c>
      <c r="M31" s="53">
        <v>0</v>
      </c>
      <c r="N31" s="53">
        <v>6.8982969728009511</v>
      </c>
      <c r="O31" s="53">
        <v>4.7183099355378726</v>
      </c>
      <c r="P31" s="53">
        <v>6.1163549122412038</v>
      </c>
      <c r="Q31" s="53">
        <v>47.867038136537658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 ht="15">
      <c r="A32" s="99" t="s">
        <v>283</v>
      </c>
      <c r="B32" s="128">
        <f>0*I32</f>
        <v>0</v>
      </c>
      <c r="C32" s="127">
        <f>0.440573659411433*I32</f>
        <v>69.852953699682715</v>
      </c>
      <c r="D32" s="127">
        <f>0.148215700963774*I32</f>
        <v>23.49959938780637</v>
      </c>
      <c r="E32" s="127">
        <f>0.404479125519944*I32</f>
        <v>64.130165351187131</v>
      </c>
      <c r="F32" s="127">
        <f>0.00673151420676311*I32</f>
        <v>1.0672815774822912</v>
      </c>
      <c r="G32" s="118">
        <f>5868*0.25</f>
        <v>1467</v>
      </c>
      <c r="H32" s="111">
        <v>154.4</v>
      </c>
      <c r="I32" s="100">
        <v>158.55000000000001</v>
      </c>
      <c r="L32" s="36" t="s">
        <v>260</v>
      </c>
      <c r="M32" s="53">
        <v>0.18103678739643558</v>
      </c>
      <c r="N32" s="53">
        <v>3.6800945322095622</v>
      </c>
      <c r="O32" s="53">
        <v>58.413928141049475</v>
      </c>
      <c r="P32" s="53">
        <v>3.4940547608062422E-2</v>
      </c>
      <c r="Q32" s="53">
        <v>0</v>
      </c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</row>
    <row r="33" spans="1:89" ht="15">
      <c r="A33" s="99" t="s">
        <v>239</v>
      </c>
      <c r="B33" s="127">
        <f>0.205760529500594*I33</f>
        <v>91.680719129579671</v>
      </c>
      <c r="C33" s="127">
        <f>0.195165031342121*I33</f>
        <v>86.959683015108851</v>
      </c>
      <c r="D33" s="127">
        <f>0.330255392634593*I33</f>
        <v>147.15189529619562</v>
      </c>
      <c r="E33" s="127">
        <f>0.142823811180301*I33</f>
        <v>63.63800554760671</v>
      </c>
      <c r="F33" s="127">
        <f>0.00205999367097049*I33</f>
        <v>0.91787137997432122</v>
      </c>
      <c r="G33" s="118">
        <f>67486*0.79</f>
        <v>53313.94</v>
      </c>
      <c r="H33" s="111">
        <v>154.19999999999999</v>
      </c>
      <c r="I33" s="100">
        <v>445.57</v>
      </c>
      <c r="L33" s="36" t="s">
        <v>261</v>
      </c>
      <c r="M33" s="53">
        <v>9.5376039361081464</v>
      </c>
      <c r="N33" s="53">
        <v>1.7483724045445259</v>
      </c>
      <c r="O33" s="53">
        <v>169.0169744970182</v>
      </c>
      <c r="P33" s="53">
        <v>81.817935707322405</v>
      </c>
      <c r="Q33" s="53">
        <v>0.36713858160529989</v>
      </c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</row>
    <row r="34" spans="1:89" ht="15">
      <c r="A34" s="99" t="s">
        <v>298</v>
      </c>
      <c r="B34" s="127">
        <f>0.0205476620696202*I34</f>
        <v>0.72163389188506133</v>
      </c>
      <c r="C34" s="127">
        <f>0.960075830355385*I34</f>
        <v>33.717863162081116</v>
      </c>
      <c r="D34" s="128">
        <f>0*I34</f>
        <v>0</v>
      </c>
      <c r="E34" s="127">
        <f>0.0000174063681395082*I34</f>
        <v>6.1131164905952793E-4</v>
      </c>
      <c r="F34" s="127">
        <f>0.0193591013419499*I34</f>
        <v>0.67989163912928041</v>
      </c>
      <c r="G34" s="118">
        <f>115449*0.92</f>
        <v>106213.08</v>
      </c>
      <c r="H34" s="111">
        <v>122.3</v>
      </c>
      <c r="I34" s="100">
        <v>35.119999999999997</v>
      </c>
      <c r="L34" s="36" t="s">
        <v>262</v>
      </c>
      <c r="M34" s="53">
        <v>0</v>
      </c>
      <c r="N34" s="53">
        <v>125.80214053471681</v>
      </c>
      <c r="O34" s="53">
        <v>0.14777156326989876</v>
      </c>
      <c r="P34" s="53">
        <v>64.300087897275048</v>
      </c>
      <c r="Q34" s="53">
        <v>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</row>
    <row r="35" spans="1:89" ht="15">
      <c r="A35" s="99" t="s">
        <v>261</v>
      </c>
      <c r="B35" s="127">
        <f>0.0305496602694047*I35</f>
        <v>9.5376039361081464</v>
      </c>
      <c r="C35" s="127">
        <f>0.00560016785568394*I35</f>
        <v>1.7483724045445259</v>
      </c>
      <c r="D35" s="127">
        <f>0.541374037466426*I35</f>
        <v>169.0169744970182</v>
      </c>
      <c r="E35" s="127">
        <f>0.262068980484697*I35</f>
        <v>81.817935707322405</v>
      </c>
      <c r="F35" s="127">
        <f>0.00117597239463581*I35</f>
        <v>0.36713858160529989</v>
      </c>
      <c r="G35" s="118">
        <f>213521*0.98</f>
        <v>209250.58</v>
      </c>
      <c r="H35" s="111">
        <v>187.9</v>
      </c>
      <c r="I35" s="100">
        <v>312.2</v>
      </c>
      <c r="L35" s="36" t="s">
        <v>263</v>
      </c>
      <c r="M35" s="53">
        <v>0</v>
      </c>
      <c r="N35" s="53">
        <v>16.497733119337475</v>
      </c>
      <c r="O35" s="53">
        <v>22.96661169768182</v>
      </c>
      <c r="P35" s="53">
        <v>43.939091687428153</v>
      </c>
      <c r="Q35" s="53">
        <v>31.816563508118104</v>
      </c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</row>
    <row r="36" spans="1:89" ht="15">
      <c r="A36" s="99" t="s">
        <v>281</v>
      </c>
      <c r="B36" s="128">
        <f>0*I36</f>
        <v>0</v>
      </c>
      <c r="C36" s="127">
        <f>0.437815271845174*I36</f>
        <v>32.555943614407141</v>
      </c>
      <c r="D36" s="127">
        <f>0.00653953183331471*I36</f>
        <v>0.48627958712528185</v>
      </c>
      <c r="E36" s="127">
        <f>0.551829692716576*I36</f>
        <v>41.034055950404593</v>
      </c>
      <c r="F36" s="127">
        <f>0.00381550418322094*I36</f>
        <v>0.28372089106430909</v>
      </c>
      <c r="G36" s="118">
        <f>55347</f>
        <v>55347</v>
      </c>
      <c r="H36" s="111">
        <v>152.69999999999999</v>
      </c>
      <c r="I36" s="100">
        <v>74.36</v>
      </c>
      <c r="L36" s="36" t="s">
        <v>234</v>
      </c>
      <c r="M36" s="53">
        <v>0</v>
      </c>
      <c r="N36" s="53">
        <v>49.326618226469847</v>
      </c>
      <c r="O36" s="53">
        <v>0</v>
      </c>
      <c r="P36" s="53">
        <v>127.19188814788106</v>
      </c>
      <c r="Q36" s="53">
        <v>0</v>
      </c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</row>
    <row r="37" spans="1:89" ht="15">
      <c r="A37" s="99" t="s">
        <v>273</v>
      </c>
      <c r="B37" s="128">
        <f>0*I37</f>
        <v>0</v>
      </c>
      <c r="C37" s="128">
        <f>0*I37</f>
        <v>0</v>
      </c>
      <c r="D37" s="127">
        <f>0.00411570652219977*I37</f>
        <v>0.2269400576340953</v>
      </c>
      <c r="E37" s="127">
        <f>0.991784635067807*I37</f>
        <v>54.687004777638876</v>
      </c>
      <c r="F37" s="127">
        <f>0.00409965862091778*I37</f>
        <v>0.22605517635740638</v>
      </c>
      <c r="G37" s="118">
        <f>44266</f>
        <v>44266</v>
      </c>
      <c r="H37" s="111">
        <v>129.69999999999999</v>
      </c>
      <c r="I37" s="100">
        <v>55.14</v>
      </c>
      <c r="L37" s="36" t="s">
        <v>264</v>
      </c>
      <c r="M37" s="53">
        <v>68.841153068234348</v>
      </c>
      <c r="N37" s="53">
        <v>72.683448735952695</v>
      </c>
      <c r="O37" s="53">
        <v>177.79375210018745</v>
      </c>
      <c r="P37" s="53">
        <v>2.9416071575211884</v>
      </c>
      <c r="Q37" s="53">
        <v>3.896366326956604E-5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</row>
    <row r="38" spans="1:89" ht="15">
      <c r="A38" s="99" t="s">
        <v>280</v>
      </c>
      <c r="B38" s="127">
        <f>0.0546509262469245*I38</f>
        <v>17.826585632484303</v>
      </c>
      <c r="C38" s="127">
        <f>0.617323903014701*I38</f>
        <v>201.3648839243653</v>
      </c>
      <c r="D38" s="127">
        <f>0.156537664666999*I38</f>
        <v>51.061020837728407</v>
      </c>
      <c r="E38" s="127">
        <f>0.000965657838824202*I38</f>
        <v>0.31498793044606643</v>
      </c>
      <c r="F38" s="127">
        <f>0.000304699041715079*I38</f>
        <v>9.938978041704162E-2</v>
      </c>
      <c r="G38" s="118">
        <f>15702*0.38</f>
        <v>5966.76</v>
      </c>
      <c r="H38" s="111">
        <v>191.6</v>
      </c>
      <c r="I38" s="100">
        <v>326.19</v>
      </c>
      <c r="L38" s="36" t="s">
        <v>265</v>
      </c>
      <c r="M38" s="53">
        <v>0.23244461523017154</v>
      </c>
      <c r="N38" s="53">
        <v>36.867338029511366</v>
      </c>
      <c r="O38" s="53">
        <v>105.35948453523467</v>
      </c>
      <c r="P38" s="53">
        <v>158.0108589968456</v>
      </c>
      <c r="Q38" s="53">
        <v>0</v>
      </c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</row>
    <row r="39" spans="1:89" ht="15">
      <c r="A39" s="99" t="s">
        <v>250</v>
      </c>
      <c r="B39" s="127">
        <f>0.528517602782455*I39</f>
        <v>41.964297660926924</v>
      </c>
      <c r="C39" s="127">
        <f>0.00290836283882793*I39</f>
        <v>0.23092400940293767</v>
      </c>
      <c r="D39" s="127">
        <f>0.000993656824945638*I39</f>
        <v>7.8896351900683656E-2</v>
      </c>
      <c r="E39" s="127">
        <f>0.453705268152324*I39</f>
        <v>36.024198291294525</v>
      </c>
      <c r="F39" s="127">
        <f>0.000704334427007245*I39</f>
        <v>5.5924153504375261E-2</v>
      </c>
      <c r="G39" s="118">
        <f>79080*0.8</f>
        <v>63264</v>
      </c>
      <c r="H39" s="111">
        <v>144</v>
      </c>
      <c r="I39" s="100">
        <v>79.400000000000006</v>
      </c>
      <c r="L39" s="36" t="s">
        <v>266</v>
      </c>
      <c r="M39" s="53">
        <v>0</v>
      </c>
      <c r="N39" s="53">
        <v>4.7044582719499362</v>
      </c>
      <c r="O39" s="53">
        <v>0.11594446282140468</v>
      </c>
      <c r="P39" s="53">
        <v>62.918129037130953</v>
      </c>
      <c r="Q39" s="53">
        <v>0</v>
      </c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</row>
    <row r="40" spans="1:89" ht="15">
      <c r="A40" s="99" t="s">
        <v>232</v>
      </c>
      <c r="B40" s="128">
        <f>0*I40</f>
        <v>0</v>
      </c>
      <c r="C40" s="127">
        <f>0.397791040805278*I40</f>
        <v>97.243997835258256</v>
      </c>
      <c r="D40" s="127">
        <f>0.558889640635248*I40</f>
        <v>136.62616154969274</v>
      </c>
      <c r="E40" s="127">
        <f>0.0422981073962419*I40</f>
        <v>10.340195334085296</v>
      </c>
      <c r="F40" s="127">
        <f>0.000105472068042078*I40</f>
        <v>2.5783701753566389E-2</v>
      </c>
      <c r="G40" s="118">
        <f>33684*0.84</f>
        <v>28294.559999999998</v>
      </c>
      <c r="H40" s="111">
        <v>168.1</v>
      </c>
      <c r="I40" s="100">
        <v>244.46</v>
      </c>
      <c r="L40" s="36" t="s">
        <v>267</v>
      </c>
      <c r="M40" s="53">
        <v>83.36086910856524</v>
      </c>
      <c r="N40" s="53">
        <v>21.083893316063421</v>
      </c>
      <c r="O40" s="53">
        <v>17.667061260160441</v>
      </c>
      <c r="P40" s="53">
        <v>57.032319727362378</v>
      </c>
      <c r="Q40" s="53">
        <v>21.735856545241834</v>
      </c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</row>
    <row r="41" spans="1:89" ht="15">
      <c r="A41" s="99" t="s">
        <v>264</v>
      </c>
      <c r="B41" s="127">
        <f>0.213619912704755*I41</f>
        <v>68.841153068234348</v>
      </c>
      <c r="C41" s="127">
        <f>0.225542880704874*I41</f>
        <v>72.683448735952695</v>
      </c>
      <c r="D41" s="127">
        <f>0.551709030286686*I41</f>
        <v>177.79375210018745</v>
      </c>
      <c r="E41" s="127">
        <f>0.00912805547545829*I41</f>
        <v>2.9416071575211884</v>
      </c>
      <c r="F41" s="127">
        <f>1.20907538228654E-07*I41</f>
        <v>3.896366326956604E-5</v>
      </c>
      <c r="G41" s="118">
        <f>111672*0.87</f>
        <v>97154.64</v>
      </c>
      <c r="H41" s="111">
        <v>149.5</v>
      </c>
      <c r="I41" s="100">
        <v>322.26</v>
      </c>
      <c r="L41" s="36" t="s">
        <v>268</v>
      </c>
      <c r="M41" s="53">
        <v>0</v>
      </c>
      <c r="N41" s="53">
        <v>44.353228006808074</v>
      </c>
      <c r="O41" s="53">
        <v>38.123854255695107</v>
      </c>
      <c r="P41" s="53">
        <v>36.309359381318501</v>
      </c>
      <c r="Q41" s="53">
        <v>22.653558364331349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</row>
    <row r="42" spans="1:89" ht="15">
      <c r="A42" s="99" t="s">
        <v>287</v>
      </c>
      <c r="B42" s="127">
        <f>0.101412224543914*I42</f>
        <v>139.97320880449186</v>
      </c>
      <c r="C42" s="127">
        <f>0.179972126870879*I42</f>
        <v>248.40472839226203</v>
      </c>
      <c r="D42" s="127">
        <f>0.262822205954452*I42</f>
        <v>362.75772154657284</v>
      </c>
      <c r="E42" s="127">
        <f>0.206001338086966*I42</f>
        <v>284.33128688115397</v>
      </c>
      <c r="F42" s="128">
        <f t="shared" ref="F42:F77" si="1">0*I42</f>
        <v>0</v>
      </c>
      <c r="G42" s="118">
        <f>376723</f>
        <v>376723</v>
      </c>
      <c r="H42" s="111">
        <v>189.6</v>
      </c>
      <c r="I42" s="100">
        <v>1380.24</v>
      </c>
      <c r="L42" s="36" t="s">
        <v>269</v>
      </c>
      <c r="M42" s="53">
        <v>9.7713605975986075E-3</v>
      </c>
      <c r="N42" s="53">
        <v>35.422634749296812</v>
      </c>
      <c r="O42" s="53">
        <v>130.97529823109329</v>
      </c>
      <c r="P42" s="53">
        <v>41.23229566301243</v>
      </c>
      <c r="Q42" s="53">
        <v>0</v>
      </c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</row>
    <row r="43" spans="1:89" ht="15">
      <c r="A43" s="99" t="s">
        <v>231</v>
      </c>
      <c r="B43" s="128">
        <f>0*I43</f>
        <v>0</v>
      </c>
      <c r="C43" s="127">
        <f>0.523133367849558*I43</f>
        <v>276.32950756549354</v>
      </c>
      <c r="D43" s="133">
        <f>0.0126486629305099*I43</f>
        <v>6.6812767331539398</v>
      </c>
      <c r="E43" s="133">
        <f>0.408933017159429*I43</f>
        <v>216.0065983239536</v>
      </c>
      <c r="F43" s="128">
        <f t="shared" si="1"/>
        <v>0</v>
      </c>
      <c r="G43" s="118">
        <f>20997*0.69</f>
        <v>14487.929999999998</v>
      </c>
      <c r="H43" s="111">
        <v>179.88</v>
      </c>
      <c r="I43" s="100">
        <v>528.22</v>
      </c>
      <c r="L43" s="36" t="s">
        <v>270</v>
      </c>
      <c r="M43" s="53">
        <v>0</v>
      </c>
      <c r="N43" s="53">
        <v>88.121625043842258</v>
      </c>
      <c r="O43" s="53">
        <v>285.44392909370487</v>
      </c>
      <c r="P43" s="53">
        <v>0.29884227953427273</v>
      </c>
      <c r="Q43" s="53">
        <v>0</v>
      </c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</row>
    <row r="44" spans="1:89" ht="15">
      <c r="A44" s="99" t="s">
        <v>265</v>
      </c>
      <c r="B44" s="127">
        <f>0.000411042644085184*I44</f>
        <v>0.23244461523017154</v>
      </c>
      <c r="C44" s="127">
        <f>0.0651942317055904*I44</f>
        <v>36.867338029511366</v>
      </c>
      <c r="D44" s="127">
        <f>0.186312085827117*I44</f>
        <v>105.35948453523467</v>
      </c>
      <c r="E44" s="127">
        <f>0.27941796462749*I44</f>
        <v>158.0108589968456</v>
      </c>
      <c r="F44" s="128">
        <f t="shared" si="1"/>
        <v>0</v>
      </c>
      <c r="G44" s="118">
        <f>3350*0.73</f>
        <v>2445.5</v>
      </c>
      <c r="H44" s="111">
        <v>240.2</v>
      </c>
      <c r="I44" s="100">
        <v>565.5</v>
      </c>
      <c r="L44" s="36" t="s">
        <v>271</v>
      </c>
      <c r="M44" s="53">
        <v>8.7476022558109351E-2</v>
      </c>
      <c r="N44" s="53">
        <v>13.259883998820671</v>
      </c>
      <c r="O44" s="53">
        <v>24.164230503759306</v>
      </c>
      <c r="P44" s="53">
        <v>132.70227855033158</v>
      </c>
      <c r="Q44" s="53">
        <v>210.99729125350552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</row>
    <row r="45" spans="1:89" ht="15">
      <c r="A45" s="99" t="s">
        <v>234</v>
      </c>
      <c r="B45" s="128">
        <f>0*I45</f>
        <v>0</v>
      </c>
      <c r="C45" s="127">
        <f>0.278256999077508*I45</f>
        <v>49.326618226469847</v>
      </c>
      <c r="D45" s="128">
        <f>0*I45</f>
        <v>0</v>
      </c>
      <c r="E45" s="127">
        <f>0.717503740891753*I45</f>
        <v>127.19188814788106</v>
      </c>
      <c r="F45" s="128">
        <f t="shared" si="1"/>
        <v>0</v>
      </c>
      <c r="G45" s="118">
        <f>9498*0.52</f>
        <v>4938.96</v>
      </c>
      <c r="H45" s="111">
        <v>162.19999999999999</v>
      </c>
      <c r="I45" s="100">
        <v>177.27</v>
      </c>
      <c r="L45" s="36" t="s">
        <v>272</v>
      </c>
      <c r="M45" s="53">
        <v>29.910364690269137</v>
      </c>
      <c r="N45" s="53">
        <v>81.294748842849231</v>
      </c>
      <c r="O45" s="53">
        <v>373.94674425879612</v>
      </c>
      <c r="P45" s="53">
        <v>93.65528541420187</v>
      </c>
      <c r="Q45" s="53">
        <v>1.3705967375399577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</row>
    <row r="46" spans="1:89" ht="15">
      <c r="A46" s="99" t="s">
        <v>139</v>
      </c>
      <c r="B46" s="127">
        <f>0.0492728169930253*I46</f>
        <v>30.054940181235644</v>
      </c>
      <c r="C46" s="127">
        <f>0.629723883254389*I46</f>
        <v>384.11267706867966</v>
      </c>
      <c r="D46" s="127">
        <f>0.0255468149642999*I46</f>
        <v>15.582790723774012</v>
      </c>
      <c r="E46" s="127">
        <f>0.201350287865202*I46</f>
        <v>122.81763508913727</v>
      </c>
      <c r="F46" s="128">
        <f t="shared" si="1"/>
        <v>0</v>
      </c>
      <c r="G46" s="118">
        <f>32689</f>
        <v>32689</v>
      </c>
      <c r="H46" s="111">
        <v>142.1</v>
      </c>
      <c r="I46" s="100">
        <v>609.97</v>
      </c>
      <c r="L46" s="36" t="s">
        <v>273</v>
      </c>
      <c r="M46" s="53">
        <v>0</v>
      </c>
      <c r="N46" s="53">
        <v>0</v>
      </c>
      <c r="O46" s="53">
        <v>0.2269400576340953</v>
      </c>
      <c r="P46" s="53">
        <v>54.687004777638876</v>
      </c>
      <c r="Q46" s="53">
        <v>0.22605517635740638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</row>
    <row r="47" spans="1:89" ht="15">
      <c r="A47" s="99" t="s">
        <v>252</v>
      </c>
      <c r="B47" s="127">
        <f>0.00530239986603724*I47</f>
        <v>0.9338586644064788</v>
      </c>
      <c r="C47" s="127">
        <f>0.0855620304890227*I47</f>
        <v>15.069184809726677</v>
      </c>
      <c r="D47" s="127">
        <f>0.215086461444363*I47</f>
        <v>37.881027589581215</v>
      </c>
      <c r="E47" s="127">
        <f>0.694049108270354*I47</f>
        <v>122.23592894857475</v>
      </c>
      <c r="F47" s="128">
        <f t="shared" si="1"/>
        <v>0</v>
      </c>
      <c r="G47" s="118">
        <f>16228*0.97</f>
        <v>15741.16</v>
      </c>
      <c r="H47" s="111">
        <v>164.9</v>
      </c>
      <c r="I47" s="100">
        <v>176.12</v>
      </c>
      <c r="L47" s="36" t="s">
        <v>274</v>
      </c>
      <c r="M47" s="53">
        <v>0</v>
      </c>
      <c r="N47" s="53">
        <v>0</v>
      </c>
      <c r="O47" s="53">
        <v>12.665189728886327</v>
      </c>
      <c r="P47" s="53">
        <v>0</v>
      </c>
      <c r="Q47" s="53">
        <v>26.935619462581688</v>
      </c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</row>
    <row r="48" spans="1:89" ht="15">
      <c r="A48" s="99" t="s">
        <v>235</v>
      </c>
      <c r="B48" s="128">
        <f>0*I48</f>
        <v>0</v>
      </c>
      <c r="C48" s="127">
        <f>0.000839918827265957*I48</f>
        <v>0.23929287388807111</v>
      </c>
      <c r="D48" s="128">
        <f>0*I48</f>
        <v>0</v>
      </c>
      <c r="E48" s="127">
        <f>0.360726170113873*I48</f>
        <v>102.77088586544241</v>
      </c>
      <c r="F48" s="128">
        <f t="shared" si="1"/>
        <v>0</v>
      </c>
      <c r="G48" s="118">
        <f>390*0.58</f>
        <v>226.2</v>
      </c>
      <c r="H48" s="111">
        <v>127.8</v>
      </c>
      <c r="I48" s="100">
        <v>284.89999999999998</v>
      </c>
      <c r="L48" s="36" t="s">
        <v>275</v>
      </c>
      <c r="M48" s="53">
        <v>0</v>
      </c>
      <c r="N48" s="53">
        <v>107.78731855594987</v>
      </c>
      <c r="O48" s="53">
        <v>0</v>
      </c>
      <c r="P48" s="53">
        <v>0</v>
      </c>
      <c r="Q48" s="53">
        <v>49.851361892386571</v>
      </c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</row>
    <row r="49" spans="1:89" ht="15">
      <c r="A49" s="99" t="s">
        <v>148</v>
      </c>
      <c r="B49" s="127">
        <f>0.140753426401889*I49</f>
        <v>20.920181766112762</v>
      </c>
      <c r="C49" s="127">
        <f>0.208494068761966*I49</f>
        <v>30.988473440091006</v>
      </c>
      <c r="D49" s="127">
        <f>0.00499810645432498*I49</f>
        <v>0.7428685623063217</v>
      </c>
      <c r="E49" s="127">
        <f>0.64575439834716*I49</f>
        <v>95.978476226338387</v>
      </c>
      <c r="F49" s="128">
        <f t="shared" si="1"/>
        <v>0</v>
      </c>
      <c r="G49" s="118">
        <f>118789*0.9</f>
        <v>106910.1</v>
      </c>
      <c r="H49" s="111">
        <v>194</v>
      </c>
      <c r="I49" s="100">
        <v>148.63</v>
      </c>
      <c r="L49" s="36" t="s">
        <v>276</v>
      </c>
      <c r="M49" s="53">
        <v>0</v>
      </c>
      <c r="N49" s="53">
        <v>55.371514482511138</v>
      </c>
      <c r="O49" s="53">
        <v>0.30714813279974257</v>
      </c>
      <c r="P49" s="53">
        <v>50.68002134862212</v>
      </c>
      <c r="Q49" s="53">
        <v>27.222587297879858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</row>
    <row r="50" spans="1:89" ht="28.5">
      <c r="A50" s="99" t="s">
        <v>244</v>
      </c>
      <c r="B50" s="127">
        <f>8.84802330302391E-06*I50</f>
        <v>9.5859484464961035E-4</v>
      </c>
      <c r="C50" s="127">
        <f>0.131739253463477*I50</f>
        <v>14.272630720233099</v>
      </c>
      <c r="D50" s="127">
        <f>0.154881455066106*I50</f>
        <v>16.779856841861925</v>
      </c>
      <c r="E50" s="127">
        <f>0.708424325236441*I50</f>
        <v>76.750691396116025</v>
      </c>
      <c r="F50" s="128">
        <f t="shared" si="1"/>
        <v>0</v>
      </c>
      <c r="G50" s="118">
        <f>22567*0.9</f>
        <v>20310.3</v>
      </c>
      <c r="H50" s="111">
        <v>134.6</v>
      </c>
      <c r="I50" s="100">
        <v>108.34</v>
      </c>
      <c r="L50" s="36" t="s">
        <v>277</v>
      </c>
      <c r="M50" s="53">
        <v>2.1958832838137474</v>
      </c>
      <c r="N50" s="53">
        <v>16.72673371146708</v>
      </c>
      <c r="O50" s="53">
        <v>91.216136808965004</v>
      </c>
      <c r="P50" s="53">
        <v>0.16011406952849788</v>
      </c>
      <c r="Q50" s="53">
        <v>0</v>
      </c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</row>
    <row r="51" spans="1:89" ht="15">
      <c r="A51" s="99" t="s">
        <v>262</v>
      </c>
      <c r="B51" s="128">
        <f>0*I51</f>
        <v>0</v>
      </c>
      <c r="C51" s="127">
        <f>0.661246467987999*I51</f>
        <v>125.80214053471681</v>
      </c>
      <c r="D51" s="127">
        <f>0.000776723065807615*I51</f>
        <v>0.14777156326989876</v>
      </c>
      <c r="E51" s="127">
        <f>0.337976808921288*I51</f>
        <v>64.300087897275048</v>
      </c>
      <c r="F51" s="128">
        <f t="shared" si="1"/>
        <v>0</v>
      </c>
      <c r="G51" s="118">
        <f>6896*0.86</f>
        <v>5930.5599999999995</v>
      </c>
      <c r="H51" s="111">
        <v>170.04</v>
      </c>
      <c r="I51" s="100">
        <v>190.25</v>
      </c>
      <c r="L51" s="36" t="s">
        <v>278</v>
      </c>
      <c r="M51" s="53">
        <v>0</v>
      </c>
      <c r="N51" s="53">
        <v>73.981786488139448</v>
      </c>
      <c r="O51" s="53">
        <v>164.73751060889313</v>
      </c>
      <c r="P51" s="53">
        <v>0</v>
      </c>
      <c r="Q51" s="53">
        <v>1.8407028591207466</v>
      </c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</row>
    <row r="52" spans="1:89" ht="15">
      <c r="A52" s="99" t="s">
        <v>282</v>
      </c>
      <c r="B52" s="128">
        <f>0*I52</f>
        <v>0</v>
      </c>
      <c r="C52" s="127">
        <f>0.541405835176502*I52</f>
        <v>75.136301805794943</v>
      </c>
      <c r="D52" s="128">
        <f>0*I52</f>
        <v>0</v>
      </c>
      <c r="E52" s="127">
        <f>0.458594164962576*I52</f>
        <v>63.643698213506298</v>
      </c>
      <c r="F52" s="128">
        <f t="shared" si="1"/>
        <v>0</v>
      </c>
      <c r="G52" s="118">
        <f>96837</f>
        <v>96837</v>
      </c>
      <c r="H52" s="111">
        <v>170.5</v>
      </c>
      <c r="I52" s="100">
        <v>138.78</v>
      </c>
      <c r="L52" s="36" t="s">
        <v>279</v>
      </c>
      <c r="M52" s="53">
        <v>31.899573218004775</v>
      </c>
      <c r="N52" s="53">
        <v>0.85462788993313543</v>
      </c>
      <c r="O52" s="53">
        <v>5.9454370851063301</v>
      </c>
      <c r="P52" s="53">
        <v>65.846385351738675</v>
      </c>
      <c r="Q52" s="53">
        <v>42.203976456218115</v>
      </c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</row>
    <row r="53" spans="1:89" ht="15">
      <c r="A53" s="99" t="s">
        <v>266</v>
      </c>
      <c r="B53" s="128">
        <f>0*I53</f>
        <v>0</v>
      </c>
      <c r="C53" s="127">
        <f>0.00735129036948189*I53</f>
        <v>4.7044582719499362</v>
      </c>
      <c r="D53" s="127">
        <f>0.000181177377641073*I53</f>
        <v>0.11594446282140468</v>
      </c>
      <c r="E53" s="127">
        <f>0.0983172576562715*I53</f>
        <v>62.918129037130953</v>
      </c>
      <c r="F53" s="128">
        <f t="shared" si="1"/>
        <v>0</v>
      </c>
      <c r="G53" s="118">
        <f>1159</f>
        <v>1159</v>
      </c>
      <c r="H53" s="110">
        <v>0</v>
      </c>
      <c r="I53" s="100">
        <v>639.95000000000005</v>
      </c>
      <c r="L53" s="36" t="s">
        <v>280</v>
      </c>
      <c r="M53" s="53">
        <v>17.826585632484303</v>
      </c>
      <c r="N53" s="53">
        <v>201.3648839243653</v>
      </c>
      <c r="O53" s="53">
        <v>51.061020837728407</v>
      </c>
      <c r="P53" s="53">
        <v>0.31498793044606643</v>
      </c>
      <c r="Q53" s="53">
        <v>9.938978041704162E-2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</row>
    <row r="54" spans="1:89" ht="15">
      <c r="A54" s="99" t="s">
        <v>285</v>
      </c>
      <c r="B54" s="128">
        <f>0*I54</f>
        <v>0</v>
      </c>
      <c r="C54" s="127">
        <f>0.319311428790222*I54</f>
        <v>49.336808862377197</v>
      </c>
      <c r="D54" s="127">
        <f>0.324373893815257*I54</f>
        <v>50.119010333395359</v>
      </c>
      <c r="E54" s="127">
        <f>0.356314677042569*I54</f>
        <v>55.054180749847326</v>
      </c>
      <c r="F54" s="128">
        <f t="shared" si="1"/>
        <v>0</v>
      </c>
      <c r="G54" s="118">
        <f>14069*0.55</f>
        <v>7737.9500000000007</v>
      </c>
      <c r="H54" s="111">
        <v>133.69999999999999</v>
      </c>
      <c r="I54" s="100">
        <v>154.51</v>
      </c>
      <c r="L54" s="36" t="s">
        <v>281</v>
      </c>
      <c r="M54" s="53">
        <v>0</v>
      </c>
      <c r="N54" s="53">
        <v>32.555943614407141</v>
      </c>
      <c r="O54" s="53">
        <v>0.48627958712528185</v>
      </c>
      <c r="P54" s="53">
        <v>41.034055950404593</v>
      </c>
      <c r="Q54" s="53">
        <v>0.28372089106430909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</row>
    <row r="55" spans="1:89" ht="15">
      <c r="A55" s="99" t="s">
        <v>151</v>
      </c>
      <c r="B55" s="128">
        <f>0*I55</f>
        <v>0</v>
      </c>
      <c r="C55" s="127">
        <f>0.00296879664654346*I55</f>
        <v>0.24231318229087723</v>
      </c>
      <c r="D55" s="127">
        <f>0.481692254426999*I55</f>
        <v>39.315721806331659</v>
      </c>
      <c r="E55" s="127">
        <f>0.515338948782545*I55</f>
        <v>42.061964999631329</v>
      </c>
      <c r="F55" s="128">
        <f t="shared" si="1"/>
        <v>0</v>
      </c>
      <c r="G55" s="118">
        <f>72124*0.92</f>
        <v>66354.080000000002</v>
      </c>
      <c r="H55" s="111">
        <v>189.1</v>
      </c>
      <c r="I55" s="100">
        <v>81.62</v>
      </c>
      <c r="L55" s="36" t="s">
        <v>282</v>
      </c>
      <c r="M55" s="53">
        <v>0</v>
      </c>
      <c r="N55" s="53">
        <v>75.136301805794943</v>
      </c>
      <c r="O55" s="53">
        <v>0</v>
      </c>
      <c r="P55" s="53">
        <v>63.643698213506298</v>
      </c>
      <c r="Q55" s="53">
        <v>0</v>
      </c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</row>
    <row r="56" spans="1:89" ht="15">
      <c r="A56" s="99" t="s">
        <v>269</v>
      </c>
      <c r="B56" s="127">
        <f>0.0000470591436987026*I56</f>
        <v>9.7713605975986075E-3</v>
      </c>
      <c r="C56" s="127">
        <f>0.170596391587829*I56</f>
        <v>35.422634749296812</v>
      </c>
      <c r="D56" s="127">
        <f>0.630780669577602*I56</f>
        <v>130.97529823109329</v>
      </c>
      <c r="E56" s="127">
        <f>0.198575879710135*I56</f>
        <v>41.23229566301243</v>
      </c>
      <c r="F56" s="128">
        <f t="shared" si="1"/>
        <v>0</v>
      </c>
      <c r="G56" s="118">
        <f>27522</f>
        <v>27522</v>
      </c>
      <c r="H56" s="111">
        <v>166.1</v>
      </c>
      <c r="I56" s="100">
        <v>207.64</v>
      </c>
      <c r="L56" s="36" t="s">
        <v>283</v>
      </c>
      <c r="M56" s="53">
        <v>0</v>
      </c>
      <c r="N56" s="53">
        <v>69.852953699682715</v>
      </c>
      <c r="O56" s="53">
        <v>23.49959938780637</v>
      </c>
      <c r="P56" s="53">
        <v>64.130165351187131</v>
      </c>
      <c r="Q56" s="53">
        <v>1.0672815774822912</v>
      </c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</row>
    <row r="57" spans="1:89" ht="15">
      <c r="A57" s="99" t="s">
        <v>238</v>
      </c>
      <c r="B57" s="128">
        <f>0*I57</f>
        <v>0</v>
      </c>
      <c r="C57" s="127">
        <f>0.664825848922623*I57</f>
        <v>89.093312014120698</v>
      </c>
      <c r="D57" s="127">
        <f>0.175131993286488*I57</f>
        <v>23.469438420322255</v>
      </c>
      <c r="E57" s="127">
        <f>0.16004215783861*I57</f>
        <v>21.447249571952124</v>
      </c>
      <c r="F57" s="128">
        <f t="shared" si="1"/>
        <v>0</v>
      </c>
      <c r="G57" s="118">
        <v>224512</v>
      </c>
      <c r="H57" s="111">
        <v>222.4</v>
      </c>
      <c r="I57" s="100">
        <v>134.01</v>
      </c>
      <c r="L57" s="36" t="s">
        <v>284</v>
      </c>
      <c r="M57" s="53">
        <v>0</v>
      </c>
      <c r="N57" s="53">
        <v>0</v>
      </c>
      <c r="O57" s="53">
        <v>38.591627757149844</v>
      </c>
      <c r="P57" s="53">
        <v>39.446719731372497</v>
      </c>
      <c r="Q57" s="53">
        <v>30.571652476913393</v>
      </c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</row>
    <row r="58" spans="1:89" ht="15">
      <c r="A58" s="99" t="s">
        <v>292</v>
      </c>
      <c r="B58" s="128">
        <f>0*I58</f>
        <v>0</v>
      </c>
      <c r="C58" s="128">
        <f>0*I58</f>
        <v>0</v>
      </c>
      <c r="D58" s="127">
        <f>0.161080322069242*I58</f>
        <v>21.470396128609266</v>
      </c>
      <c r="E58" s="127">
        <f>0.0960392675246091*I58</f>
        <v>12.801073968355146</v>
      </c>
      <c r="F58" s="128">
        <f t="shared" si="1"/>
        <v>0</v>
      </c>
      <c r="G58" s="118">
        <f>35409*0.99</f>
        <v>35054.909999999996</v>
      </c>
      <c r="H58" s="111">
        <v>180.2</v>
      </c>
      <c r="I58" s="100">
        <v>133.29</v>
      </c>
      <c r="L58" s="36" t="s">
        <v>285</v>
      </c>
      <c r="M58" s="53">
        <v>0</v>
      </c>
      <c r="N58" s="53">
        <v>49.336808862377197</v>
      </c>
      <c r="O58" s="53">
        <v>50.119010333395359</v>
      </c>
      <c r="P58" s="53">
        <v>55.054180749847326</v>
      </c>
      <c r="Q58" s="53">
        <v>0</v>
      </c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</row>
    <row r="59" spans="1:89" ht="15">
      <c r="A59" s="99" t="s">
        <v>291</v>
      </c>
      <c r="B59" s="128">
        <f>0*I59</f>
        <v>0</v>
      </c>
      <c r="C59" s="127">
        <f>0.00448534395055606*I59</f>
        <v>0.4477270331445059</v>
      </c>
      <c r="D59" s="127">
        <f>0.21953928703541*I59</f>
        <v>21.914411631874625</v>
      </c>
      <c r="E59" s="127">
        <f>0.0711164238030356*I59</f>
        <v>7.098841424019013</v>
      </c>
      <c r="F59" s="128">
        <f t="shared" si="1"/>
        <v>0</v>
      </c>
      <c r="G59" s="118">
        <f>6816</f>
        <v>6816</v>
      </c>
      <c r="H59" s="111">
        <v>128.80000000000001</v>
      </c>
      <c r="I59" s="100">
        <v>99.82</v>
      </c>
      <c r="L59" s="36" t="s">
        <v>286</v>
      </c>
      <c r="M59" s="53">
        <v>123.00679230370764</v>
      </c>
      <c r="N59" s="53">
        <v>259.96302804505001</v>
      </c>
      <c r="O59" s="53">
        <v>0.12994477678274916</v>
      </c>
      <c r="P59" s="53">
        <v>1.2454531245350886</v>
      </c>
      <c r="Q59" s="53">
        <v>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</row>
    <row r="60" spans="1:89" ht="15">
      <c r="A60" s="99" t="s">
        <v>142</v>
      </c>
      <c r="B60" s="128">
        <f>0*I60</f>
        <v>0</v>
      </c>
      <c r="C60" s="127">
        <f>0.376681888857238*I60</f>
        <v>57.862104947360336</v>
      </c>
      <c r="D60" s="127">
        <f>0.587937841232819*I60</f>
        <v>90.31313179177333</v>
      </c>
      <c r="E60" s="127">
        <f>0.0353802698629459*I60</f>
        <v>5.4347632536471204</v>
      </c>
      <c r="F60" s="128">
        <f t="shared" si="1"/>
        <v>0</v>
      </c>
      <c r="G60" s="118">
        <f>267235</f>
        <v>267235</v>
      </c>
      <c r="H60" s="111">
        <v>141.80000000000001</v>
      </c>
      <c r="I60" s="100">
        <v>153.61000000000001</v>
      </c>
      <c r="L60" s="36" t="s">
        <v>287</v>
      </c>
      <c r="M60" s="53">
        <v>139.97320880449186</v>
      </c>
      <c r="N60" s="53">
        <v>248.40472839226203</v>
      </c>
      <c r="O60" s="53">
        <v>362.75772154657284</v>
      </c>
      <c r="P60" s="53">
        <v>284.33128688115397</v>
      </c>
      <c r="Q60" s="53">
        <v>0</v>
      </c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</row>
    <row r="61" spans="1:89" ht="15">
      <c r="A61" s="99" t="s">
        <v>286</v>
      </c>
      <c r="B61" s="127">
        <f>0.319166560206818*I61</f>
        <v>123.00679230370764</v>
      </c>
      <c r="C61" s="127">
        <f>0.674527836131422*I61</f>
        <v>259.96302804505001</v>
      </c>
      <c r="D61" s="127">
        <f>0.00033716859569992*I61</f>
        <v>0.12994477678274916</v>
      </c>
      <c r="E61" s="127">
        <f>0.0032315856889857*I61</f>
        <v>1.2454531245350886</v>
      </c>
      <c r="F61" s="128">
        <f t="shared" si="1"/>
        <v>0</v>
      </c>
      <c r="G61" s="118">
        <f>25733*0.66</f>
        <v>16983.780000000002</v>
      </c>
      <c r="H61" s="111">
        <v>150.6</v>
      </c>
      <c r="I61" s="100">
        <v>385.4</v>
      </c>
      <c r="L61" s="36" t="s">
        <v>288</v>
      </c>
      <c r="M61" s="53">
        <v>0</v>
      </c>
      <c r="N61" s="53">
        <v>36.484461116752541</v>
      </c>
      <c r="O61" s="53">
        <v>41.305018997480552</v>
      </c>
      <c r="P61" s="53">
        <v>0.47586293967466359</v>
      </c>
      <c r="Q61" s="53">
        <v>0</v>
      </c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</row>
    <row r="62" spans="1:89" ht="15">
      <c r="A62" s="99" t="s">
        <v>237</v>
      </c>
      <c r="B62" s="128">
        <f>0*I62</f>
        <v>0</v>
      </c>
      <c r="C62" s="127">
        <f>0.901913943613947*I62</f>
        <v>5.0056223870574055</v>
      </c>
      <c r="D62" s="128">
        <f>0*I62</f>
        <v>0</v>
      </c>
      <c r="E62" s="127">
        <f>0.0980860559911078*I62</f>
        <v>0.54437761075064828</v>
      </c>
      <c r="F62" s="128">
        <f t="shared" si="1"/>
        <v>0</v>
      </c>
      <c r="G62" s="118">
        <f>2951</f>
        <v>2951</v>
      </c>
      <c r="H62" s="111">
        <v>419.5</v>
      </c>
      <c r="I62" s="100">
        <v>5.55</v>
      </c>
      <c r="L62" s="36" t="s">
        <v>289</v>
      </c>
      <c r="M62" s="53">
        <v>0</v>
      </c>
      <c r="N62" s="53">
        <v>72.983712559969916</v>
      </c>
      <c r="O62" s="53">
        <v>245.14894560459524</v>
      </c>
      <c r="P62" s="53">
        <v>55.54725822809602</v>
      </c>
      <c r="Q62" s="53">
        <v>115.07215238776878</v>
      </c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</row>
    <row r="63" spans="1:89" ht="15">
      <c r="A63" s="99" t="s">
        <v>288</v>
      </c>
      <c r="B63" s="128">
        <f>0*I63</f>
        <v>0</v>
      </c>
      <c r="C63" s="127">
        <f>0.299642420472672*I63</f>
        <v>36.484461116752541</v>
      </c>
      <c r="D63" s="127">
        <f>0.339233073238178*I63</f>
        <v>41.305018997480552</v>
      </c>
      <c r="E63" s="127">
        <f>0.00390820416946997*I63</f>
        <v>0.47586293967466359</v>
      </c>
      <c r="F63" s="128">
        <f t="shared" si="1"/>
        <v>0</v>
      </c>
      <c r="G63" s="118">
        <f>8336*0.85</f>
        <v>7085.5999999999995</v>
      </c>
      <c r="H63" s="111">
        <v>220</v>
      </c>
      <c r="I63" s="100">
        <v>121.76</v>
      </c>
      <c r="L63" s="36" t="s">
        <v>290</v>
      </c>
      <c r="M63" s="53">
        <v>33.4411087426531</v>
      </c>
      <c r="N63" s="53">
        <v>32.074791364218392</v>
      </c>
      <c r="O63" s="53">
        <v>99.437500860020407</v>
      </c>
      <c r="P63" s="53">
        <v>35.615203826248504</v>
      </c>
      <c r="Q63" s="53">
        <v>22.260775039142985</v>
      </c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</row>
    <row r="64" spans="1:89" ht="15">
      <c r="A64" s="99" t="s">
        <v>270</v>
      </c>
      <c r="B64" s="128">
        <f>0*I64</f>
        <v>0</v>
      </c>
      <c r="C64" s="127">
        <f>0.235524856458218*I64</f>
        <v>88.121625043842258</v>
      </c>
      <c r="D64" s="127">
        <f>0.762913080565829*I64</f>
        <v>285.44392909370487</v>
      </c>
      <c r="E64" s="127">
        <f>0.000798723184643252*I64</f>
        <v>0.29884227953427273</v>
      </c>
      <c r="F64" s="128">
        <f t="shared" si="1"/>
        <v>0</v>
      </c>
      <c r="G64" s="118">
        <f>12235*0.68</f>
        <v>8319.8000000000011</v>
      </c>
      <c r="H64" s="111">
        <v>152.69999999999999</v>
      </c>
      <c r="I64" s="100">
        <v>374.15</v>
      </c>
      <c r="L64" s="36" t="s">
        <v>291</v>
      </c>
      <c r="M64" s="53">
        <v>0</v>
      </c>
      <c r="N64" s="53">
        <v>0.4477270331445059</v>
      </c>
      <c r="O64" s="53">
        <v>21.914411631874625</v>
      </c>
      <c r="P64" s="53">
        <v>7.098841424019013</v>
      </c>
      <c r="Q64" s="53">
        <v>0</v>
      </c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</row>
    <row r="65" spans="1:89" ht="15">
      <c r="A65" s="99" t="s">
        <v>277</v>
      </c>
      <c r="B65" s="127">
        <f>0.0199082799983114*I65</f>
        <v>2.1958832838137474</v>
      </c>
      <c r="C65" s="127">
        <f>0.151647631110309*I65</f>
        <v>16.72673371146708</v>
      </c>
      <c r="D65" s="127">
        <f>0.826982201350544*I65</f>
        <v>91.216136808965004</v>
      </c>
      <c r="E65" s="127">
        <f>0.0014516234771396*I65</f>
        <v>0.16011406952849788</v>
      </c>
      <c r="F65" s="128">
        <f t="shared" si="1"/>
        <v>0</v>
      </c>
      <c r="G65" s="118">
        <f>7523*0.86</f>
        <v>6469.78</v>
      </c>
      <c r="H65" s="111">
        <v>167.3</v>
      </c>
      <c r="I65" s="100">
        <v>110.3</v>
      </c>
      <c r="L65" s="36" t="s">
        <v>292</v>
      </c>
      <c r="M65" s="53">
        <v>0</v>
      </c>
      <c r="N65" s="53">
        <v>0</v>
      </c>
      <c r="O65" s="53">
        <v>21.470396128609266</v>
      </c>
      <c r="P65" s="53">
        <v>12.801073968355146</v>
      </c>
      <c r="Q65" s="53">
        <v>0</v>
      </c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</row>
    <row r="66" spans="1:89" ht="15">
      <c r="A66" s="99" t="s">
        <v>260</v>
      </c>
      <c r="B66" s="127">
        <f>0.00290542107842137*I66</f>
        <v>0.18103678739643558</v>
      </c>
      <c r="C66" s="127">
        <f>0.0590610581320745*I66</f>
        <v>3.6800945322095622</v>
      </c>
      <c r="D66" s="127">
        <f>0.9374727674699*I66</f>
        <v>58.413928141049475</v>
      </c>
      <c r="E66" s="127">
        <f>0.000560753452223759*I66</f>
        <v>3.4940547608062422E-2</v>
      </c>
      <c r="F66" s="128">
        <f t="shared" si="1"/>
        <v>0</v>
      </c>
      <c r="G66" s="118">
        <v>210721</v>
      </c>
      <c r="H66" s="111">
        <v>168.4</v>
      </c>
      <c r="I66" s="100">
        <v>62.31</v>
      </c>
      <c r="L66" s="36" t="s">
        <v>293</v>
      </c>
      <c r="M66" s="53">
        <v>80.04608358278027</v>
      </c>
      <c r="N66" s="53">
        <v>44.82771890784791</v>
      </c>
      <c r="O66" s="53">
        <v>34.326041991169674</v>
      </c>
      <c r="P66" s="53">
        <v>1.7930222591948615</v>
      </c>
      <c r="Q66" s="53">
        <v>110.07713322394989</v>
      </c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</row>
    <row r="67" spans="1:89" ht="15">
      <c r="A67" s="99" t="s">
        <v>240</v>
      </c>
      <c r="B67" s="127">
        <f>0.205124357632576*I67</f>
        <v>66.876694318948751</v>
      </c>
      <c r="C67" s="128">
        <f>0*I67</f>
        <v>0</v>
      </c>
      <c r="D67" s="127">
        <f>0.341239470216387*I67</f>
        <v>111.25430447464865</v>
      </c>
      <c r="E67" s="128">
        <f t="shared" ref="E67:E77" si="2">0*I67</f>
        <v>0</v>
      </c>
      <c r="F67" s="128">
        <f t="shared" si="1"/>
        <v>0</v>
      </c>
      <c r="G67" s="118">
        <f>4078*0.76</f>
        <v>3099.28</v>
      </c>
      <c r="H67" s="111">
        <v>111.1</v>
      </c>
      <c r="I67" s="100">
        <v>326.02999999999997</v>
      </c>
      <c r="L67" s="36" t="s">
        <v>294</v>
      </c>
      <c r="M67" s="53">
        <v>0</v>
      </c>
      <c r="N67" s="53">
        <v>16.398297424127861</v>
      </c>
      <c r="O67" s="53">
        <v>25.625535930411701</v>
      </c>
      <c r="P67" s="53">
        <v>0</v>
      </c>
      <c r="Q67" s="53">
        <v>56.356166801179242</v>
      </c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</row>
    <row r="68" spans="1:89" ht="15">
      <c r="A68" s="99" t="s">
        <v>296</v>
      </c>
      <c r="B68" s="127">
        <f>0.0925687859336133*I68</f>
        <v>18.859038758255036</v>
      </c>
      <c r="C68" s="127">
        <f>0.00503560279776475*I68</f>
        <v>1.0259033579886125</v>
      </c>
      <c r="D68" s="127">
        <f>0.0373207255624184*I68</f>
        <v>7.603351418831501</v>
      </c>
      <c r="E68" s="128">
        <f t="shared" si="2"/>
        <v>0</v>
      </c>
      <c r="F68" s="128">
        <f t="shared" si="1"/>
        <v>0</v>
      </c>
      <c r="G68" s="118">
        <f>4681</f>
        <v>4681</v>
      </c>
      <c r="H68" s="110">
        <v>0</v>
      </c>
      <c r="I68" s="100">
        <v>203.73</v>
      </c>
      <c r="L68" s="36" t="s">
        <v>295</v>
      </c>
      <c r="M68" s="53">
        <v>0</v>
      </c>
      <c r="N68" s="53">
        <v>253.08</v>
      </c>
      <c r="O68" s="53">
        <v>0</v>
      </c>
      <c r="P68" s="53">
        <v>0</v>
      </c>
      <c r="Q68" s="53">
        <v>0</v>
      </c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</row>
    <row r="69" spans="1:89" ht="15">
      <c r="A69" s="99" t="s">
        <v>140</v>
      </c>
      <c r="B69" s="128">
        <f t="shared" ref="B69:B77" si="3">0*I69</f>
        <v>0</v>
      </c>
      <c r="C69" s="127">
        <f>0.224479796662579*I69</f>
        <v>100.78020471166484</v>
      </c>
      <c r="D69" s="127">
        <f>0.00149245319993852*I69</f>
        <v>0.6700368641123986</v>
      </c>
      <c r="E69" s="128">
        <f t="shared" si="2"/>
        <v>0</v>
      </c>
      <c r="F69" s="128">
        <f t="shared" si="1"/>
        <v>0</v>
      </c>
      <c r="G69" s="118">
        <f>3561*0.6</f>
        <v>2136.6</v>
      </c>
      <c r="H69" s="111">
        <v>154</v>
      </c>
      <c r="I69" s="100">
        <v>448.95</v>
      </c>
      <c r="L69" s="36" t="s">
        <v>137</v>
      </c>
      <c r="M69" s="53">
        <v>0</v>
      </c>
      <c r="N69" s="53">
        <v>10.730625872938353</v>
      </c>
      <c r="O69" s="53">
        <v>38.313354996659093</v>
      </c>
      <c r="P69" s="53">
        <v>0</v>
      </c>
      <c r="Q69" s="53">
        <v>104.90182810859432</v>
      </c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</row>
    <row r="70" spans="1:89" ht="15">
      <c r="A70" s="99" t="s">
        <v>236</v>
      </c>
      <c r="B70" s="128">
        <f t="shared" si="3"/>
        <v>0</v>
      </c>
      <c r="C70" s="127">
        <f>0.998032366586352*I70</f>
        <v>136.47094580701778</v>
      </c>
      <c r="D70" s="128">
        <f t="shared" ref="D70:D77" si="4">0*I70</f>
        <v>0</v>
      </c>
      <c r="E70" s="128">
        <f t="shared" si="2"/>
        <v>0</v>
      </c>
      <c r="F70" s="128">
        <f t="shared" si="1"/>
        <v>0</v>
      </c>
      <c r="G70" s="118">
        <f>6182*0.38</f>
        <v>2349.16</v>
      </c>
      <c r="H70" s="111">
        <v>189.6</v>
      </c>
      <c r="I70" s="100">
        <v>136.74</v>
      </c>
      <c r="L70" s="36" t="s">
        <v>139</v>
      </c>
      <c r="M70" s="53">
        <v>30.054940181235644</v>
      </c>
      <c r="N70" s="53">
        <v>384.11267706867966</v>
      </c>
      <c r="O70" s="53">
        <v>15.582790723774012</v>
      </c>
      <c r="P70" s="53">
        <v>122.81763508913727</v>
      </c>
      <c r="Q70" s="53">
        <v>0</v>
      </c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</row>
    <row r="71" spans="1:89" ht="15">
      <c r="A71" s="99" t="s">
        <v>241</v>
      </c>
      <c r="B71" s="128">
        <f t="shared" si="3"/>
        <v>0</v>
      </c>
      <c r="C71" s="127">
        <f>0.1051281419803*I71</f>
        <v>77.581414937201998</v>
      </c>
      <c r="D71" s="128">
        <f t="shared" si="4"/>
        <v>0</v>
      </c>
      <c r="E71" s="128">
        <f t="shared" si="2"/>
        <v>0</v>
      </c>
      <c r="F71" s="128">
        <f t="shared" si="1"/>
        <v>0</v>
      </c>
      <c r="G71" s="118">
        <v>114</v>
      </c>
      <c r="H71" s="110">
        <v>0</v>
      </c>
      <c r="I71" s="100">
        <v>737.97</v>
      </c>
      <c r="L71" s="36" t="s">
        <v>235</v>
      </c>
      <c r="M71" s="53">
        <v>0</v>
      </c>
      <c r="N71" s="53">
        <v>0.23929287388807111</v>
      </c>
      <c r="O71" s="53">
        <v>0</v>
      </c>
      <c r="P71" s="53">
        <v>102.77088586544241</v>
      </c>
      <c r="Q71" s="53">
        <v>0</v>
      </c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</row>
    <row r="72" spans="1:89" ht="15">
      <c r="A72" s="99" t="s">
        <v>245</v>
      </c>
      <c r="B72" s="128">
        <f t="shared" si="3"/>
        <v>0</v>
      </c>
      <c r="C72" s="127">
        <f>0.04800511604212*I72</f>
        <v>71.34040295019453</v>
      </c>
      <c r="D72" s="128">
        <f t="shared" si="4"/>
        <v>0</v>
      </c>
      <c r="E72" s="128">
        <f t="shared" si="2"/>
        <v>0</v>
      </c>
      <c r="F72" s="128">
        <f t="shared" si="1"/>
        <v>0</v>
      </c>
      <c r="G72" s="118">
        <v>45</v>
      </c>
      <c r="H72" s="110">
        <v>0</v>
      </c>
      <c r="I72" s="100">
        <v>1486.1</v>
      </c>
      <c r="L72" s="36" t="s">
        <v>296</v>
      </c>
      <c r="M72" s="53">
        <v>18.859038758255036</v>
      </c>
      <c r="N72" s="53">
        <v>1.0259033579886125</v>
      </c>
      <c r="O72" s="53">
        <v>7.603351418831501</v>
      </c>
      <c r="P72" s="53">
        <v>0</v>
      </c>
      <c r="Q72" s="53">
        <v>0</v>
      </c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</row>
    <row r="73" spans="1:89" ht="15">
      <c r="A73" s="99" t="s">
        <v>247</v>
      </c>
      <c r="B73" s="128">
        <f t="shared" si="3"/>
        <v>0</v>
      </c>
      <c r="C73" s="127">
        <f>0.000786217253445442*I73</f>
        <v>0.86739418486368391</v>
      </c>
      <c r="D73" s="128">
        <f t="shared" si="4"/>
        <v>0</v>
      </c>
      <c r="E73" s="128">
        <f t="shared" si="2"/>
        <v>0</v>
      </c>
      <c r="F73" s="128">
        <f t="shared" si="1"/>
        <v>0</v>
      </c>
      <c r="G73" s="118">
        <v>2</v>
      </c>
      <c r="H73" s="110">
        <v>0</v>
      </c>
      <c r="I73" s="100">
        <v>1103.25</v>
      </c>
      <c r="L73" s="36" t="s">
        <v>140</v>
      </c>
      <c r="M73" s="53">
        <v>0</v>
      </c>
      <c r="N73" s="53">
        <v>100.78020471166484</v>
      </c>
      <c r="O73" s="53">
        <v>0.6700368641123986</v>
      </c>
      <c r="P73" s="53">
        <v>0</v>
      </c>
      <c r="Q73" s="53">
        <v>0</v>
      </c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</row>
    <row r="74" spans="1:89" ht="15">
      <c r="A74" s="99" t="s">
        <v>256</v>
      </c>
      <c r="B74" s="128">
        <f t="shared" si="3"/>
        <v>0</v>
      </c>
      <c r="C74" s="127">
        <f>0.356370852314081*I74</f>
        <v>226.0495953313447</v>
      </c>
      <c r="D74" s="128">
        <f t="shared" si="4"/>
        <v>0</v>
      </c>
      <c r="E74" s="129">
        <f t="shared" si="2"/>
        <v>0</v>
      </c>
      <c r="F74" s="128">
        <f t="shared" si="1"/>
        <v>0</v>
      </c>
      <c r="G74" s="118">
        <v>517</v>
      </c>
      <c r="H74" s="111">
        <v>163.4</v>
      </c>
      <c r="I74" s="100">
        <v>634.30999999999995</v>
      </c>
      <c r="L74" s="36" t="s">
        <v>142</v>
      </c>
      <c r="M74" s="53">
        <v>0</v>
      </c>
      <c r="N74" s="53">
        <v>57.862104947360336</v>
      </c>
      <c r="O74" s="53">
        <v>90.31313179177333</v>
      </c>
      <c r="P74" s="53">
        <v>5.4347632536471204</v>
      </c>
      <c r="Q74" s="53">
        <v>0</v>
      </c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</row>
    <row r="75" spans="1:89" ht="15">
      <c r="A75" s="99" t="s">
        <v>295</v>
      </c>
      <c r="B75" s="128">
        <f t="shared" si="3"/>
        <v>0</v>
      </c>
      <c r="C75" s="127">
        <f>1*I75</f>
        <v>253.08</v>
      </c>
      <c r="D75" s="128">
        <f t="shared" si="4"/>
        <v>0</v>
      </c>
      <c r="E75" s="129">
        <f t="shared" si="2"/>
        <v>0</v>
      </c>
      <c r="F75" s="128">
        <f t="shared" si="1"/>
        <v>0</v>
      </c>
      <c r="G75" s="118">
        <f>5850*0.82</f>
        <v>4797</v>
      </c>
      <c r="H75" s="111">
        <v>164.9</v>
      </c>
      <c r="I75" s="100">
        <v>253.08</v>
      </c>
      <c r="L75" s="36" t="s">
        <v>297</v>
      </c>
      <c r="M75" s="53">
        <v>0</v>
      </c>
      <c r="N75" s="53">
        <v>75.499876257944891</v>
      </c>
      <c r="O75" s="53">
        <v>0</v>
      </c>
      <c r="P75" s="53">
        <v>0</v>
      </c>
      <c r="Q75" s="53">
        <v>0</v>
      </c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</row>
    <row r="76" spans="1:89" ht="15">
      <c r="A76" s="99" t="s">
        <v>297</v>
      </c>
      <c r="B76" s="128">
        <f t="shared" si="3"/>
        <v>0</v>
      </c>
      <c r="C76" s="130">
        <f>0.18648851737173*I76</f>
        <v>75.499876257944891</v>
      </c>
      <c r="D76" s="128">
        <f t="shared" si="4"/>
        <v>0</v>
      </c>
      <c r="E76" s="128">
        <f t="shared" si="2"/>
        <v>0</v>
      </c>
      <c r="F76" s="128">
        <f t="shared" si="1"/>
        <v>0</v>
      </c>
      <c r="G76" s="118">
        <f>642</f>
        <v>642</v>
      </c>
      <c r="H76" s="110">
        <v>0</v>
      </c>
      <c r="I76" s="100">
        <v>404.85</v>
      </c>
      <c r="L76" s="36" t="s">
        <v>236</v>
      </c>
      <c r="M76" s="53">
        <v>0</v>
      </c>
      <c r="N76" s="53">
        <v>136.47094580701778</v>
      </c>
      <c r="O76" s="53">
        <v>0</v>
      </c>
      <c r="P76" s="53">
        <v>0</v>
      </c>
      <c r="Q76" s="53">
        <v>0</v>
      </c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</row>
    <row r="77" spans="1:89" ht="15">
      <c r="A77" s="103" t="s">
        <v>145</v>
      </c>
      <c r="B77" s="129">
        <f t="shared" si="3"/>
        <v>0</v>
      </c>
      <c r="C77" s="130">
        <f>0.394198975513807*I77</f>
        <v>124.50380442628079</v>
      </c>
      <c r="D77" s="129">
        <f t="shared" si="4"/>
        <v>0</v>
      </c>
      <c r="E77" s="129">
        <f t="shared" si="2"/>
        <v>0</v>
      </c>
      <c r="F77" s="129">
        <f t="shared" si="1"/>
        <v>0</v>
      </c>
      <c r="G77" s="118">
        <f>451</f>
        <v>451</v>
      </c>
      <c r="H77" s="119">
        <v>154.19999999999999</v>
      </c>
      <c r="I77" s="120">
        <v>315.83999999999997</v>
      </c>
      <c r="L77" s="36" t="s">
        <v>145</v>
      </c>
      <c r="M77" s="53">
        <v>0</v>
      </c>
      <c r="N77" s="53">
        <v>124.50380442628079</v>
      </c>
      <c r="O77" s="53">
        <v>0</v>
      </c>
      <c r="P77" s="53">
        <v>0</v>
      </c>
      <c r="Q77" s="53">
        <v>0</v>
      </c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</row>
    <row r="78" spans="1:89" ht="15">
      <c r="A78" s="121" t="s">
        <v>398</v>
      </c>
      <c r="B78" s="131">
        <f>SUBTOTAL(109,Tabela1[1])</f>
        <v>1081.5767375504693</v>
      </c>
      <c r="C78" s="131">
        <f>SUBTOTAL(109,Tabela1[2])</f>
        <v>5071.7779613734792</v>
      </c>
      <c r="D78" s="131">
        <f>SUBTOTAL(109,Tabela1[3])</f>
        <v>4494.6766839414486</v>
      </c>
      <c r="E78" s="131">
        <f>SUBTOTAL(109,Tabela1[4])</f>
        <v>3236.4345809025995</v>
      </c>
      <c r="F78" s="131">
        <f>SUBTOTAL(109,Tabela1[5])</f>
        <v>1477.4245842902121</v>
      </c>
      <c r="G78" s="122"/>
      <c r="H78" s="123"/>
      <c r="I78" s="124"/>
      <c r="L78" s="36" t="s">
        <v>146</v>
      </c>
      <c r="M78" s="53">
        <v>0</v>
      </c>
      <c r="N78" s="53">
        <v>0</v>
      </c>
      <c r="O78" s="53">
        <v>98.10880299288398</v>
      </c>
      <c r="P78" s="53">
        <v>13.147373186626908</v>
      </c>
      <c r="Q78" s="53">
        <v>15.433823828895619</v>
      </c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</row>
    <row r="79" spans="1:89" ht="15">
      <c r="A79" s="49"/>
      <c r="L79" s="36" t="s">
        <v>148</v>
      </c>
      <c r="M79" s="53">
        <v>20.920181766112762</v>
      </c>
      <c r="N79" s="53">
        <v>30.988473440091006</v>
      </c>
      <c r="O79" s="53">
        <v>0.7428685623063217</v>
      </c>
      <c r="P79" s="53">
        <v>95.978476226338387</v>
      </c>
      <c r="Q79" s="53">
        <v>0</v>
      </c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</row>
    <row r="80" spans="1:89" ht="15">
      <c r="A80" s="49"/>
      <c r="L80" s="36" t="s">
        <v>149</v>
      </c>
      <c r="M80" s="53">
        <v>0</v>
      </c>
      <c r="N80" s="53">
        <v>13.05885954129441</v>
      </c>
      <c r="O80" s="53">
        <v>53.971328554527567</v>
      </c>
      <c r="P80" s="53">
        <v>9.5775680583097024E-3</v>
      </c>
      <c r="Q80" s="53">
        <v>75.530234284805928</v>
      </c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</row>
    <row r="81" spans="1:17">
      <c r="A81" s="49"/>
      <c r="L81" s="36" t="s">
        <v>298</v>
      </c>
      <c r="M81" s="53">
        <v>0.72163389188506133</v>
      </c>
      <c r="N81" s="53">
        <v>33.717863162081116</v>
      </c>
      <c r="O81" s="53">
        <v>0</v>
      </c>
      <c r="P81" s="53">
        <v>6.1131164905952793E-4</v>
      </c>
      <c r="Q81" s="53">
        <v>0.67989163912928041</v>
      </c>
    </row>
    <row r="82" spans="1:17">
      <c r="A82" s="49"/>
      <c r="L82" s="36" t="s">
        <v>151</v>
      </c>
      <c r="M82" s="53">
        <v>0</v>
      </c>
      <c r="N82" s="53">
        <v>0.24231318229087723</v>
      </c>
      <c r="O82" s="53">
        <v>39.315721806331659</v>
      </c>
      <c r="P82" s="53">
        <v>42.061964999631329</v>
      </c>
      <c r="Q82" s="53">
        <v>0</v>
      </c>
    </row>
    <row r="83" spans="1:17">
      <c r="L83" s="113" t="s">
        <v>306</v>
      </c>
      <c r="M83" s="134">
        <v>1081.5767375504693</v>
      </c>
      <c r="N83" s="134">
        <v>5071.7779613734801</v>
      </c>
      <c r="O83" s="134">
        <v>4494.6766839414486</v>
      </c>
      <c r="P83" s="134">
        <v>3236.4345809025995</v>
      </c>
      <c r="Q83" s="134">
        <v>1477.4245842902114</v>
      </c>
    </row>
    <row r="84" spans="1:17" ht="15">
      <c r="L84"/>
      <c r="M84" s="109"/>
    </row>
    <row r="85" spans="1:17" ht="15">
      <c r="L85"/>
      <c r="M85" s="109"/>
    </row>
    <row r="86" spans="1:17" ht="15">
      <c r="L86"/>
      <c r="M86" s="109"/>
    </row>
    <row r="87" spans="1:17" ht="15">
      <c r="L87"/>
      <c r="M87" s="109"/>
    </row>
    <row r="88" spans="1:17" ht="15">
      <c r="L88"/>
      <c r="M88" s="109"/>
    </row>
    <row r="89" spans="1:17" ht="15">
      <c r="L89"/>
    </row>
    <row r="90" spans="1:17" ht="15">
      <c r="L90"/>
    </row>
    <row r="91" spans="1:17" ht="15">
      <c r="L91"/>
      <c r="M91" s="109"/>
    </row>
    <row r="92" spans="1:17" ht="15">
      <c r="L92"/>
      <c r="M92" s="109"/>
    </row>
    <row r="93" spans="1:17" ht="15">
      <c r="L93"/>
      <c r="M93" s="109"/>
      <c r="Q93" s="109"/>
    </row>
    <row r="94" spans="1:17" ht="15">
      <c r="L94"/>
      <c r="M94" s="109"/>
      <c r="Q94" s="109"/>
    </row>
    <row r="95" spans="1:17" ht="15">
      <c r="L95"/>
      <c r="M95" s="109"/>
      <c r="Q95" s="109"/>
    </row>
    <row r="96" spans="1:17" ht="15">
      <c r="L96"/>
      <c r="M96" s="109"/>
      <c r="Q96" s="109"/>
    </row>
    <row r="97" spans="12:17" ht="15">
      <c r="L97"/>
      <c r="Q97" s="109"/>
    </row>
    <row r="98" spans="12:17" ht="15">
      <c r="L98"/>
      <c r="Q98" s="109"/>
    </row>
    <row r="99" spans="12:17" ht="15">
      <c r="L99"/>
    </row>
    <row r="100" spans="12:17" ht="15">
      <c r="L100"/>
    </row>
    <row r="101" spans="12:17" ht="15">
      <c r="L101"/>
      <c r="Q101" s="109"/>
    </row>
    <row r="102" spans="12:17" ht="15">
      <c r="L102"/>
      <c r="Q102" s="109"/>
    </row>
    <row r="103" spans="12:17" ht="15">
      <c r="L103"/>
      <c r="Q103" s="109"/>
    </row>
    <row r="104" spans="12:17" ht="15">
      <c r="L104"/>
      <c r="Q104" s="109"/>
    </row>
    <row r="105" spans="12:17" ht="15">
      <c r="L105"/>
      <c r="Q105" s="109"/>
    </row>
    <row r="106" spans="12:17" ht="15">
      <c r="L106"/>
      <c r="Q106" s="109"/>
    </row>
    <row r="107" spans="12:17" ht="15">
      <c r="L107"/>
      <c r="M107" s="109"/>
    </row>
    <row r="108" spans="12:17" ht="15">
      <c r="L108"/>
      <c r="M108" s="109"/>
    </row>
    <row r="109" spans="12:17" ht="15">
      <c r="L109"/>
      <c r="M109" s="109"/>
      <c r="Q109" s="109"/>
    </row>
    <row r="110" spans="12:17" ht="15">
      <c r="L110"/>
      <c r="M110" s="109"/>
      <c r="Q110" s="109"/>
    </row>
    <row r="111" spans="12:17" ht="15">
      <c r="L111"/>
      <c r="M111" s="109"/>
      <c r="Q111" s="109"/>
    </row>
    <row r="112" spans="12:17" ht="15">
      <c r="L112"/>
      <c r="M112" s="109"/>
      <c r="Q112" s="109"/>
    </row>
    <row r="113" spans="12:17" ht="15">
      <c r="L113"/>
      <c r="Q113" s="109"/>
    </row>
    <row r="114" spans="12:17" ht="15">
      <c r="L114"/>
      <c r="Q114" s="109"/>
    </row>
    <row r="115" spans="12:17" ht="15">
      <c r="L115"/>
    </row>
    <row r="116" spans="12:17" ht="15">
      <c r="L116"/>
    </row>
    <row r="117" spans="12:17" ht="15">
      <c r="L117"/>
      <c r="Q117" s="109"/>
    </row>
    <row r="118" spans="12:17" ht="15">
      <c r="L118"/>
    </row>
    <row r="119" spans="12:17" ht="15">
      <c r="L119"/>
      <c r="Q119" s="109"/>
    </row>
    <row r="120" spans="12:17" ht="15">
      <c r="L120"/>
      <c r="Q120" s="109"/>
    </row>
    <row r="121" spans="12:17" ht="15">
      <c r="L121"/>
    </row>
    <row r="122" spans="12:17" ht="15">
      <c r="L122"/>
      <c r="Q122" s="109"/>
    </row>
    <row r="123" spans="12:17" ht="15">
      <c r="L123"/>
      <c r="M123" s="109"/>
    </row>
    <row r="124" spans="12:17" ht="15">
      <c r="L124"/>
      <c r="M124" s="109"/>
    </row>
    <row r="125" spans="12:17" ht="15">
      <c r="L125"/>
      <c r="M125" s="109"/>
      <c r="Q125" s="109"/>
    </row>
    <row r="126" spans="12:17" ht="15">
      <c r="L126"/>
      <c r="M126" s="109"/>
      <c r="Q126" s="109"/>
    </row>
    <row r="127" spans="12:17" ht="15">
      <c r="L127"/>
      <c r="M127" s="109"/>
      <c r="Q127" s="109"/>
    </row>
    <row r="128" spans="12:17" ht="15">
      <c r="L128"/>
      <c r="M128" s="109"/>
      <c r="Q128" s="109"/>
    </row>
    <row r="129" spans="12:17" ht="15">
      <c r="L129"/>
      <c r="Q129" s="109"/>
    </row>
    <row r="130" spans="12:17" ht="15">
      <c r="L130"/>
      <c r="Q130" s="109"/>
    </row>
    <row r="131" spans="12:17" ht="15">
      <c r="L131"/>
      <c r="M131" s="109"/>
    </row>
    <row r="132" spans="12:17" ht="15">
      <c r="L132"/>
      <c r="M132" s="109"/>
    </row>
    <row r="133" spans="12:17" ht="15">
      <c r="L133"/>
      <c r="M133" s="109"/>
      <c r="Q133" s="109"/>
    </row>
    <row r="134" spans="12:17" ht="15">
      <c r="L134"/>
      <c r="M134" s="109"/>
      <c r="Q134" s="109"/>
    </row>
    <row r="135" spans="12:17" ht="15">
      <c r="L135"/>
      <c r="M135" s="109"/>
      <c r="Q135" s="109"/>
    </row>
    <row r="136" spans="12:17" ht="15">
      <c r="L136"/>
      <c r="M136" s="109"/>
      <c r="Q136" s="109"/>
    </row>
    <row r="137" spans="12:17" ht="15">
      <c r="L137"/>
      <c r="Q137" s="109"/>
    </row>
    <row r="138" spans="12:17" ht="15">
      <c r="L138"/>
      <c r="Q138" s="109"/>
    </row>
    <row r="139" spans="12:17" ht="15">
      <c r="L139"/>
      <c r="M139" s="109"/>
    </row>
    <row r="140" spans="12:17" ht="15">
      <c r="L140"/>
      <c r="M140" s="109"/>
    </row>
    <row r="141" spans="12:17" ht="15">
      <c r="L141"/>
      <c r="M141" s="109"/>
      <c r="Q141" s="109"/>
    </row>
    <row r="142" spans="12:17" ht="15">
      <c r="L142"/>
      <c r="M142" s="109"/>
      <c r="Q142" s="109"/>
    </row>
    <row r="143" spans="12:17" ht="15">
      <c r="L143"/>
      <c r="M143" s="109"/>
      <c r="Q143" s="109"/>
    </row>
    <row r="144" spans="12:17" ht="15">
      <c r="L144"/>
      <c r="M144" s="109"/>
      <c r="Q144" s="109"/>
    </row>
    <row r="145" spans="12:17" ht="15">
      <c r="L145"/>
      <c r="Q145" s="109"/>
    </row>
    <row r="146" spans="12:17" ht="15">
      <c r="L146"/>
      <c r="Q146" s="109"/>
    </row>
    <row r="147" spans="12:17" ht="15">
      <c r="L147"/>
      <c r="M147" s="109"/>
    </row>
    <row r="148" spans="12:17" ht="15">
      <c r="L148"/>
    </row>
    <row r="149" spans="12:17" ht="15">
      <c r="L149"/>
      <c r="M149" s="109"/>
      <c r="Q149" s="109"/>
    </row>
    <row r="150" spans="12:17" ht="15">
      <c r="L150"/>
      <c r="M150" s="109"/>
      <c r="Q150" s="109"/>
    </row>
    <row r="151" spans="12:17" ht="15">
      <c r="L151"/>
      <c r="Q151" s="109"/>
    </row>
    <row r="152" spans="12:17" ht="15">
      <c r="L152"/>
      <c r="M152" s="109"/>
      <c r="Q152" s="109"/>
    </row>
    <row r="153" spans="12:17" ht="15">
      <c r="L153"/>
      <c r="Q153" s="109"/>
    </row>
    <row r="154" spans="12:17" ht="15">
      <c r="L154"/>
      <c r="Q154" s="109"/>
    </row>
    <row r="155" spans="12:17" ht="15">
      <c r="L155"/>
      <c r="M155" s="109"/>
    </row>
    <row r="156" spans="12:17">
      <c r="M156" s="109"/>
    </row>
    <row r="157" spans="12:17">
      <c r="M157" s="109"/>
    </row>
    <row r="158" spans="12:17">
      <c r="M158" s="109"/>
    </row>
    <row r="159" spans="12:17">
      <c r="M159" s="109"/>
    </row>
    <row r="160" spans="12:17">
      <c r="M160" s="109"/>
    </row>
  </sheetData>
  <conditionalFormatting sqref="B1">
    <cfRule type="cellIs" dxfId="19" priority="16" operator="equal">
      <formula>5</formula>
    </cfRule>
    <cfRule type="cellIs" dxfId="18" priority="17" operator="equal">
      <formula>4</formula>
    </cfRule>
    <cfRule type="cellIs" dxfId="17" priority="18" operator="equal">
      <formula>3</formula>
    </cfRule>
    <cfRule type="cellIs" dxfId="16" priority="19" operator="equal">
      <formula>2</formula>
    </cfRule>
    <cfRule type="cellIs" dxfId="15" priority="20" operator="equal">
      <formula>1</formula>
    </cfRule>
  </conditionalFormatting>
  <conditionalFormatting sqref="C1">
    <cfRule type="cellIs" dxfId="14" priority="11" operator="equal">
      <formula>5</formula>
    </cfRule>
    <cfRule type="cellIs" dxfId="13" priority="12" operator="equal">
      <formula>4</formula>
    </cfRule>
    <cfRule type="cellIs" dxfId="12" priority="13" operator="equal">
      <formula>3</formula>
    </cfRule>
    <cfRule type="cellIs" dxfId="11" priority="14" operator="equal">
      <formula>2</formula>
    </cfRule>
    <cfRule type="cellIs" dxfId="10" priority="15" operator="equal">
      <formula>1</formula>
    </cfRule>
  </conditionalFormatting>
  <conditionalFormatting sqref="D1">
    <cfRule type="cellIs" dxfId="9" priority="6" operator="equal">
      <formula>5</formula>
    </cfRule>
    <cfRule type="cellIs" dxfId="8" priority="7" operator="equal">
      <formula>4</formula>
    </cfRule>
    <cfRule type="cellIs" dxfId="7" priority="8" operator="equal">
      <formula>3</formula>
    </cfRule>
    <cfRule type="cellIs" dxfId="6" priority="9" operator="equal">
      <formula>2</formula>
    </cfRule>
    <cfRule type="cellIs" dxfId="5" priority="10" operator="equal">
      <formula>1</formula>
    </cfRule>
  </conditionalFormatting>
  <conditionalFormatting sqref="E1:F1">
    <cfRule type="cellIs" dxfId="4" priority="1" operator="equal">
      <formula>5</formula>
    </cfRule>
    <cfRule type="cellIs" dxfId="3" priority="2" operator="equal">
      <formula>4</formula>
    </cfRule>
    <cfRule type="cellIs" dxfId="2" priority="3" operator="equal">
      <formula>3</formula>
    </cfRule>
    <cfRule type="cellIs" dxfId="1" priority="4" operator="equal">
      <formula>2</formula>
    </cfRule>
    <cfRule type="cellIs" dxfId="0" priority="5" operator="equal">
      <formula>1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2"/>
  <drawing r:id="rId3"/>
  <legacyDrawing r:id="rId4"/>
  <tableParts count="1">
    <tablePart r:id="rId5"/>
  </tableParts>
  <extLst>
    <ext xmlns:x14="http://schemas.microsoft.com/office/spreadsheetml/2009/9/main" uri="{A8765BA9-456A-4dab-B4F3-ACF838C121DE}">
      <x14:slicerList>
        <x14:slicer r:id="rId6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28CC9628AE7E4D9780EBCDDA4CCE5D" ma:contentTypeVersion="12" ma:contentTypeDescription="Crie um novo documento." ma:contentTypeScope="" ma:versionID="352f869d74e580b297382ce5d25b5db8">
  <xsd:schema xmlns:xsd="http://www.w3.org/2001/XMLSchema" xmlns:xs="http://www.w3.org/2001/XMLSchema" xmlns:p="http://schemas.microsoft.com/office/2006/metadata/properties" xmlns:ns2="9813519b-3cb6-4eb7-b374-2759e8f8a1ef" xmlns:ns3="78cec8e6-2dd2-454d-b20c-951d9c576460" targetNamespace="http://schemas.microsoft.com/office/2006/metadata/properties" ma:root="true" ma:fieldsID="d830cd9b2fa5e0b6f50b94b2aca398ce" ns2:_="" ns3:_="">
    <xsd:import namespace="9813519b-3cb6-4eb7-b374-2759e8f8a1ef"/>
    <xsd:import namespace="78cec8e6-2dd2-454d-b20c-951d9c5764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13519b-3cb6-4eb7-b374-2759e8f8a1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cec8e6-2dd2-454d-b20c-951d9c57646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4A9837-D09C-4548-90EF-FC1CB19DB5C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C1B08B1-7677-4B06-BFF1-4B4665AB1B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13519b-3cb6-4eb7-b374-2759e8f8a1ef"/>
    <ds:schemaRef ds:uri="78cec8e6-2dd2-454d-b20c-951d9c5764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887C2E-06DB-4148-8D18-D88EAB6460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Mapa 3.5</vt:lpstr>
      <vt:lpstr>Resumo_Municipios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Fabio Coca</dc:creator>
  <cp:keywords/>
  <dc:description/>
  <cp:lastModifiedBy>Fabio Coca</cp:lastModifiedBy>
  <cp:revision/>
  <dcterms:created xsi:type="dcterms:W3CDTF">2020-10-30T16:49:02Z</dcterms:created>
  <dcterms:modified xsi:type="dcterms:W3CDTF">2026-08-28T14:48:26Z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cacdb85e63664a739d177347b1054f96</vt:lpwstr>
  </property>
  <property fmtid="{D5CDD505-2E9C-101B-9397-08002B2CF9AE}" pid="3" name="ContentTypeId">
    <vt:lpwstr>0x010100B528CC9628AE7E4D9780EBCDDA4CCE5D</vt:lpwstr>
  </property>
</Properties>
</file>